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filterPrivacy="1"/>
  <xr:revisionPtr revIDLastSave="1215" documentId="8_{0B43A3A9-3A09-4585-BD0C-E8ED1A9858AA}" xr6:coauthVersionLast="47" xr6:coauthVersionMax="47" xr10:uidLastSave="{11DFA230-D217-4A78-BBEE-F78CBB8E26D0}"/>
  <bookViews>
    <workbookView xWindow="16965" yWindow="2205" windowWidth="18585" windowHeight="16905" tabRatio="754" xr2:uid="{00000000-000D-0000-FFFF-FFFF00000000}"/>
  </bookViews>
  <sheets>
    <sheet name="QuantiSort or QualiBot - ROI" sheetId="21" r:id="rId1"/>
    <sheet name="Material recovery - ROI" sheetId="25" r:id="rId2"/>
    <sheet name="Material recovery" sheetId="24" r:id="rId3"/>
    <sheet name="Pipeline archive" sheetId="13" state="hidden" r:id="rId4"/>
  </sheets>
  <externalReferences>
    <externalReference r:id="rId5"/>
    <externalReference r:id="rId6"/>
    <externalReference r:id="rId7"/>
  </externalReferences>
  <definedNames>
    <definedName name="_xlnm._FilterDatabase" localSheetId="3" hidden="1">'Pipeline archive'!$A$2:$H$71</definedName>
    <definedName name="Robotics\CAPEX\Cost_of_1_robotic_unit" localSheetId="1">'[1]Pipeline archive'!#REF!</definedName>
    <definedName name="Robotics\CAPEX\Cost_of_1_robotic_unit" localSheetId="0">'[1]Pipeline archive'!#REF!</definedName>
    <definedName name="Robotics\CAPEX\Cost_of_1_robotic_unit">'Pipeline archive'!#REF!</definedName>
    <definedName name="skdjfhkjsfdsjdfhssdfsa_sa\fdas" localSheetId="1">'[1]Pipeline archive'!#REF!</definedName>
    <definedName name="skdjfhkjsfdsjdfhssdfsa_sa\fdas" localSheetId="0">'[1]Pipeline archive'!#REF!</definedName>
    <definedName name="skdjfhkjsfdsjdfhssdfsa_sa\fdas">'Pipeline archive'!#REF!</definedName>
    <definedName name="skdjfhkjsfdsjdfhssdfsasa\fdas" localSheetId="1">'[1]Pipeline archive'!#REF!</definedName>
    <definedName name="skdjfhkjsfdsjdfhssdfsasa\fdas" localSheetId="0">'[1]Pipeline archive'!#REF!</definedName>
    <definedName name="skdjfhkjsfdsjdfhssdfsasa\fdas">'Pipeline archive'!#REF!</definedName>
    <definedName name="skdjfhkjsfdsjdfhssdfsasafdas" localSheetId="1">'[1]Pipeline archive'!#REF!</definedName>
    <definedName name="skdjfhkjsfdsjdfhssdfsasafdas" localSheetId="0">'[1]Pipeline archive'!#REF!</definedName>
    <definedName name="skdjfhkjsfdsjdfhssdfsasafdas">'Pipeline archive'!#REF!</definedName>
    <definedName name="x_augmentation_prod">'[2]modele BWO'!$C$22</definedName>
    <definedName name="x_etp_gestion">'[2]modele BWO'!$C$56</definedName>
    <definedName name="x_marge_secu">'[2]modele BWO'!$C$59</definedName>
    <definedName name="x_pick_27">'[2]modele BWO'!$C$51</definedName>
    <definedName name="x_pick_machine">'[2]modele BWO'!$C$57</definedName>
    <definedName name="xpoids_unitaire_bouteilles">'[2]modele BWO'!$D$16</definedName>
    <definedName name="xpoids_unitaire_Canettes">'[2]modele BWO'!$D$19</definedName>
    <definedName name="xpoids_unitaire_GC">'[2]modele BWO'!$D$17</definedName>
    <definedName name="xpoids_unitaire_GP">'[2]modele BWO'!$D$18</definedName>
    <definedName name="xxcs" localSheetId="1">'[1]Pipeline archive'!#REF!</definedName>
    <definedName name="xxcs" localSheetId="0">'[1]Pipeline archive'!#REF!</definedName>
    <definedName name="xxcs">'Pipeline archive'!#REF!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21" l="1"/>
  <c r="I33" i="21"/>
  <c r="I32" i="21"/>
  <c r="I31" i="21"/>
  <c r="I30" i="21"/>
  <c r="I29" i="21"/>
  <c r="I28" i="21"/>
  <c r="I27" i="21"/>
  <c r="I26" i="21"/>
  <c r="I25" i="21"/>
  <c r="D25" i="21"/>
  <c r="E25" i="21" s="1"/>
  <c r="C7" i="24"/>
  <c r="L35" i="25"/>
  <c r="M35" i="25" s="1"/>
  <c r="K39" i="25" s="1"/>
  <c r="L34" i="25"/>
  <c r="M34" i="25" s="1"/>
  <c r="Q33" i="25"/>
  <c r="R33" i="25" s="1"/>
  <c r="L33" i="25"/>
  <c r="M33" i="25" s="1"/>
  <c r="L32" i="25"/>
  <c r="M32" i="25" s="1"/>
  <c r="Q31" i="25"/>
  <c r="R31" i="25" s="1"/>
  <c r="L31" i="25"/>
  <c r="M31" i="25" s="1"/>
  <c r="M30" i="25"/>
  <c r="L30" i="25"/>
  <c r="L29" i="25"/>
  <c r="M29" i="25" s="1"/>
  <c r="M28" i="25"/>
  <c r="L28" i="25"/>
  <c r="L27" i="25"/>
  <c r="M27" i="25" s="1"/>
  <c r="L26" i="25"/>
  <c r="K26" i="25"/>
  <c r="B26" i="25"/>
  <c r="I26" i="25" s="1"/>
  <c r="P18" i="25"/>
  <c r="U18" i="25" s="1"/>
  <c r="P17" i="25"/>
  <c r="Q34" i="25" s="1"/>
  <c r="R34" i="25" s="1"/>
  <c r="P13" i="25"/>
  <c r="Q27" i="25" s="1"/>
  <c r="R27" i="25" s="1"/>
  <c r="U10" i="25"/>
  <c r="V35" i="25" s="1"/>
  <c r="W35" i="25" s="1"/>
  <c r="P10" i="25"/>
  <c r="C6" i="24"/>
  <c r="D13" i="24" s="1"/>
  <c r="D26" i="21" l="1"/>
  <c r="E26" i="21" s="1"/>
  <c r="Q26" i="25"/>
  <c r="V26" i="25"/>
  <c r="V30" i="25"/>
  <c r="W30" i="25" s="1"/>
  <c r="V34" i="25"/>
  <c r="W34" i="25" s="1"/>
  <c r="Q28" i="25"/>
  <c r="Q35" i="25"/>
  <c r="R35" i="25" s="1"/>
  <c r="Q29" i="25"/>
  <c r="R29" i="25" s="1"/>
  <c r="Q32" i="25"/>
  <c r="R32" i="25" s="1"/>
  <c r="M26" i="25"/>
  <c r="N26" i="25" s="1"/>
  <c r="N29" i="25"/>
  <c r="N34" i="25"/>
  <c r="N30" i="25"/>
  <c r="N35" i="25"/>
  <c r="N31" i="25"/>
  <c r="N27" i="25"/>
  <c r="N32" i="25"/>
  <c r="N28" i="25"/>
  <c r="P26" i="25"/>
  <c r="R26" i="25" s="1"/>
  <c r="B27" i="25"/>
  <c r="V29" i="25"/>
  <c r="W29" i="25" s="1"/>
  <c r="V33" i="25"/>
  <c r="W33" i="25" s="1"/>
  <c r="V28" i="25"/>
  <c r="W28" i="25" s="1"/>
  <c r="V32" i="25"/>
  <c r="W32" i="25" s="1"/>
  <c r="V27" i="25"/>
  <c r="W27" i="25" s="1"/>
  <c r="Q30" i="25"/>
  <c r="R30" i="25" s="1"/>
  <c r="U26" i="25"/>
  <c r="V31" i="25"/>
  <c r="W31" i="25" s="1"/>
  <c r="D17" i="24"/>
  <c r="H17" i="24" s="1"/>
  <c r="K17" i="24" s="1"/>
  <c r="I17" i="24"/>
  <c r="D21" i="24"/>
  <c r="D18" i="24"/>
  <c r="D16" i="24"/>
  <c r="E22" i="24"/>
  <c r="D14" i="24"/>
  <c r="D15" i="24"/>
  <c r="H13" i="24"/>
  <c r="D27" i="21" l="1"/>
  <c r="D28" i="21" s="1"/>
  <c r="E27" i="21"/>
  <c r="I13" i="24"/>
  <c r="N33" i="25"/>
  <c r="W26" i="25"/>
  <c r="I27" i="25"/>
  <c r="B28" i="25"/>
  <c r="U39" i="25"/>
  <c r="P39" i="25"/>
  <c r="S26" i="25"/>
  <c r="S27" i="25"/>
  <c r="H14" i="24"/>
  <c r="K14" i="24" s="1"/>
  <c r="H16" i="24"/>
  <c r="I16" i="24" s="1"/>
  <c r="H18" i="24"/>
  <c r="I18" i="24"/>
  <c r="H21" i="24"/>
  <c r="I21" i="24" s="1"/>
  <c r="H15" i="24"/>
  <c r="I15" i="24" s="1"/>
  <c r="D22" i="24"/>
  <c r="C24" i="24" s="1"/>
  <c r="K13" i="24"/>
  <c r="D29" i="21" l="1"/>
  <c r="D30" i="21" s="1"/>
  <c r="D31" i="21" s="1"/>
  <c r="D32" i="21" s="1"/>
  <c r="D33" i="21" s="1"/>
  <c r="D34" i="21" s="1"/>
  <c r="D38" i="21" s="1"/>
  <c r="E28" i="21"/>
  <c r="E34" i="21"/>
  <c r="E32" i="21"/>
  <c r="H22" i="24"/>
  <c r="B29" i="25"/>
  <c r="I28" i="25"/>
  <c r="X32" i="25"/>
  <c r="X28" i="25"/>
  <c r="X33" i="25"/>
  <c r="X29" i="25"/>
  <c r="X31" i="25"/>
  <c r="X27" i="25"/>
  <c r="X34" i="25"/>
  <c r="X30" i="25"/>
  <c r="X26" i="25"/>
  <c r="X35" i="25"/>
  <c r="K15" i="24"/>
  <c r="I14" i="24"/>
  <c r="I22" i="24" s="1"/>
  <c r="K21" i="24"/>
  <c r="K18" i="24"/>
  <c r="K16" i="24"/>
  <c r="E31" i="21" l="1"/>
  <c r="E29" i="21"/>
  <c r="E30" i="21"/>
  <c r="E33" i="21"/>
  <c r="I29" i="25"/>
  <c r="B30" i="25"/>
  <c r="K22" i="24"/>
  <c r="C25" i="24" s="1"/>
  <c r="C26" i="24" s="1"/>
  <c r="D10" i="25" s="1"/>
  <c r="E34" i="25" l="1"/>
  <c r="F34" i="25" s="1"/>
  <c r="E27" i="25"/>
  <c r="F27" i="25" s="1"/>
  <c r="E32" i="25"/>
  <c r="F32" i="25" s="1"/>
  <c r="E31" i="25"/>
  <c r="F31" i="25" s="1"/>
  <c r="E26" i="25"/>
  <c r="E33" i="25"/>
  <c r="F33" i="25" s="1"/>
  <c r="E30" i="25"/>
  <c r="F30" i="25" s="1"/>
  <c r="E29" i="25"/>
  <c r="F29" i="25" s="1"/>
  <c r="E28" i="25"/>
  <c r="F28" i="25" s="1"/>
  <c r="E35" i="25"/>
  <c r="F35" i="25" s="1"/>
  <c r="D39" i="25" s="1"/>
  <c r="B31" i="25"/>
  <c r="I30" i="25"/>
  <c r="G28" i="25" l="1"/>
  <c r="U41" i="25"/>
  <c r="G26" i="25"/>
  <c r="G35" i="25"/>
  <c r="G34" i="25"/>
  <c r="G33" i="25"/>
  <c r="G27" i="25"/>
  <c r="G31" i="25"/>
  <c r="G32" i="25"/>
  <c r="G30" i="25"/>
  <c r="F26" i="25"/>
  <c r="U42" i="25" s="1"/>
  <c r="G29" i="25"/>
  <c r="K40" i="25"/>
  <c r="P40" i="25"/>
  <c r="U40" i="25"/>
  <c r="I31" i="25"/>
  <c r="B32" i="25"/>
  <c r="O17" i="21"/>
  <c r="B25" i="21"/>
  <c r="I32" i="25" l="1"/>
  <c r="B33" i="25"/>
  <c r="L17" i="21"/>
  <c r="B34" i="25" l="1"/>
  <c r="I33" i="25"/>
  <c r="B35" i="25" l="1"/>
  <c r="I34" i="25"/>
  <c r="O10" i="21"/>
  <c r="L10" i="21" s="1"/>
  <c r="L30" i="21" l="1"/>
  <c r="L27" i="21"/>
  <c r="L26" i="21"/>
  <c r="L34" i="21"/>
  <c r="L31" i="21"/>
  <c r="L29" i="21"/>
  <c r="L25" i="21"/>
  <c r="L33" i="21"/>
  <c r="L32" i="21"/>
  <c r="L28" i="21"/>
  <c r="I35" i="25"/>
  <c r="P15" i="25" s="1"/>
  <c r="P28" i="25" s="1"/>
  <c r="D38" i="25"/>
  <c r="L40" i="21" l="1"/>
  <c r="L41" i="21"/>
  <c r="L38" i="21"/>
  <c r="P41" i="25"/>
  <c r="R28" i="25"/>
  <c r="K38" i="25"/>
  <c r="U38" i="25"/>
  <c r="H54" i="25" s="1"/>
  <c r="S35" i="25" l="1"/>
  <c r="S29" i="25"/>
  <c r="S31" i="25"/>
  <c r="S34" i="25"/>
  <c r="S32" i="25"/>
  <c r="S28" i="25"/>
  <c r="S30" i="25"/>
  <c r="S33" i="25"/>
  <c r="P38" i="25"/>
  <c r="P42" i="25"/>
  <c r="O16" i="21"/>
  <c r="O33" i="21" l="1"/>
  <c r="O28" i="21"/>
  <c r="O32" i="21"/>
  <c r="O30" i="21"/>
  <c r="O31" i="21"/>
  <c r="O29" i="21"/>
  <c r="O34" i="21"/>
  <c r="O38" i="21" s="1"/>
  <c r="I38" i="21" l="1"/>
  <c r="J25" i="21" l="1"/>
  <c r="O13" i="21"/>
  <c r="J30" i="21"/>
  <c r="G25" i="21"/>
  <c r="B26" i="21"/>
  <c r="O26" i="21" l="1"/>
  <c r="O25" i="21"/>
  <c r="J32" i="21"/>
  <c r="J34" i="21"/>
  <c r="J33" i="21"/>
  <c r="J31" i="21"/>
  <c r="J26" i="21"/>
  <c r="J27" i="21"/>
  <c r="J29" i="21"/>
  <c r="J28" i="21"/>
  <c r="B27" i="21"/>
  <c r="G27" i="21" s="1"/>
  <c r="G26" i="21"/>
  <c r="P25" i="21" l="1"/>
  <c r="P26" i="21"/>
  <c r="B28" i="21"/>
  <c r="B29" i="21" l="1"/>
  <c r="G29" i="21" s="1"/>
  <c r="G28" i="21"/>
  <c r="M34" i="21" l="1"/>
  <c r="M33" i="21"/>
  <c r="M32" i="21"/>
  <c r="M25" i="21"/>
  <c r="M28" i="21"/>
  <c r="M31" i="21"/>
  <c r="M30" i="21"/>
  <c r="M29" i="21"/>
  <c r="M27" i="21"/>
  <c r="M26" i="21"/>
  <c r="B30" i="21"/>
  <c r="B31" i="21" s="1"/>
  <c r="B32" i="21" s="1"/>
  <c r="B33" i="21" l="1"/>
  <c r="G32" i="21"/>
  <c r="G30" i="21"/>
  <c r="G31" i="21"/>
  <c r="B34" i="21" l="1"/>
  <c r="G33" i="21"/>
  <c r="G34" i="21" l="1"/>
  <c r="D37" i="21"/>
  <c r="O15" i="21" l="1"/>
  <c r="I37" i="21"/>
  <c r="L37" i="21"/>
  <c r="L39" i="21"/>
  <c r="O39" i="21"/>
  <c r="I39" i="21"/>
  <c r="O27" i="21" l="1"/>
  <c r="O40" i="21" s="1"/>
  <c r="F53" i="21"/>
  <c r="O37" i="21" l="1"/>
  <c r="P27" i="21"/>
  <c r="P28" i="21"/>
  <c r="P29" i="21"/>
  <c r="P30" i="21"/>
  <c r="P31" i="21"/>
  <c r="P32" i="21"/>
  <c r="P33" i="21"/>
  <c r="O41" i="21"/>
  <c r="P34" i="21"/>
</calcChain>
</file>

<file path=xl/sharedStrings.xml><?xml version="1.0" encoding="utf-8"?>
<sst xmlns="http://schemas.openxmlformats.org/spreadsheetml/2006/main" count="577" uniqueCount="341">
  <si>
    <t>ROI - AUTOMATION OF MANUAL TASKS</t>
  </si>
  <si>
    <t>Edit the yellow cells in line with you company's metrics.</t>
  </si>
  <si>
    <t>x</t>
  </si>
  <si>
    <t>Manual picking</t>
  </si>
  <si>
    <t xml:space="preserve"> Lease</t>
  </si>
  <si>
    <t xml:space="preserve"> Buy</t>
  </si>
  <si>
    <t xml:space="preserve"> Lease then Buy</t>
  </si>
  <si>
    <t>Setup</t>
  </si>
  <si>
    <t>Variables</t>
  </si>
  <si>
    <t>Number of picking stations</t>
  </si>
  <si>
    <t>Number of systems</t>
  </si>
  <si>
    <t>Number of full-time employees per picking station*</t>
  </si>
  <si>
    <t>Pricing (total)</t>
  </si>
  <si>
    <t>Pricing (per shift)</t>
  </si>
  <si>
    <t>Year 1 and 2 payments (per unit)</t>
  </si>
  <si>
    <t>Average yearly cost per employee (per year)</t>
  </si>
  <si>
    <t>Lease after year 2 (per unit)</t>
  </si>
  <si>
    <t>Cost of low purity due to labour shortages (lower resell prices &amp; rejected shipments)</t>
  </si>
  <si>
    <t>Purchase price (per unit) includes robot or airjet bar, Controls, Recycleye AI Vision system, Transport &amp; Installation</t>
  </si>
  <si>
    <t>Overheard of manual pickers (air-con, cantenn, changing rooms etc)</t>
  </si>
  <si>
    <t>Unit Licence (per year per unit)</t>
  </si>
  <si>
    <t>% increase in labour per year</t>
  </si>
  <si>
    <t>Integrator works (if required)</t>
  </si>
  <si>
    <t>Terms and Warranty</t>
  </si>
  <si>
    <t>Payment Terms</t>
  </si>
  <si>
    <t>First year up front</t>
  </si>
  <si>
    <t>70% Upfront, 20% Install, 10% Commissioning</t>
  </si>
  <si>
    <t>Warranty</t>
  </si>
  <si>
    <t xml:space="preserve">Perpetual Warranty </t>
  </si>
  <si>
    <t>2 Year Warranty From Purchase</t>
  </si>
  <si>
    <t>Cashflows</t>
  </si>
  <si>
    <t>Year</t>
  </si>
  <si>
    <t>Total</t>
  </si>
  <si>
    <t>Cumulative costs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</si>
  <si>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</si>
  <si>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</si>
  <si>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</si>
  <si>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</si>
  <si>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</si>
  <si>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</si>
  <si>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</si>
  <si>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</si>
  <si>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</si>
  <si>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</si>
  <si>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Returns</t>
  </si>
  <si>
    <t>Net Present Cost (NPC)</t>
  </si>
  <si>
    <t>Ammortized cost (per year)</t>
  </si>
  <si>
    <t>Saving per year</t>
  </si>
  <si>
    <t xml:space="preserve">Payback period from purchase </t>
  </si>
  <si>
    <t>n/a as no investment</t>
  </si>
  <si>
    <t>ROI</t>
  </si>
  <si>
    <t>Additional returns</t>
  </si>
  <si>
    <t>Data (i.e. full visibility on plant performance)</t>
  </si>
  <si>
    <t>No staff turnover</t>
  </si>
  <si>
    <t>Consistency and reliability</t>
  </si>
  <si>
    <t>Positive PR</t>
  </si>
  <si>
    <t>Higher pick rate</t>
  </si>
  <si>
    <t xml:space="preserve">* dependent on number of shifts (1, 2 or 3 shifts per day) and number of operational days (5, 6 or 7 days)
 </t>
  </si>
  <si>
    <t>Perpetual warranty</t>
  </si>
  <si>
    <t>Standard warranty starts only after buy</t>
  </si>
  <si>
    <t>* first six months paid at signing, min 4 years</t>
  </si>
  <si>
    <t>*Payback period from purchase (at year 2), as this is only 1.5 years, the payback period will occur 6 months prior to this. 1.5 years after the unit is installed.</t>
  </si>
  <si>
    <t>ROI - AUTOMATION OF PET AND HDPE SORT</t>
  </si>
  <si>
    <t>Not sorting PET and HDPE</t>
  </si>
  <si>
    <t>Revenue forgone</t>
  </si>
  <si>
    <t>Number of AI Airjets</t>
  </si>
  <si>
    <t>Pruchase price after year 2 (all units)</t>
  </si>
  <si>
    <t>Purchase price (per unit) includes Airjet bar, Controls, Recycleye AI Vision system, Transport &amp; Installation</t>
  </si>
  <si>
    <t>CAPEX</t>
  </si>
  <si>
    <t>OPEX</t>
  </si>
  <si>
    <t>ROI - HDPE and PET sorting</t>
  </si>
  <si>
    <t>INSERT ASSUMPTIONS IN YELLOW CELLS</t>
  </si>
  <si>
    <t>Line tonnage (t/p.a.)</t>
  </si>
  <si>
    <t>Mixed plastic price with the PET and HDPE (£/t)</t>
  </si>
  <si>
    <t>Mixed plastic price without the PET and HDPE (£/t)</t>
  </si>
  <si>
    <t>Waste stream</t>
  </si>
  <si>
    <t>Sorted fraction</t>
  </si>
  <si>
    <t>Savings</t>
  </si>
  <si>
    <t>Item class</t>
  </si>
  <si>
    <t>Sorted classes price</t>
  </si>
  <si>
    <t>Tonnage</t>
  </si>
  <si>
    <t>Material composition</t>
  </si>
  <si>
    <t>Expected recovery</t>
  </si>
  <si>
    <t>Nominal yearly extractable quantity</t>
  </si>
  <si>
    <t xml:space="preserve">Left over quantity </t>
  </si>
  <si>
    <t>PET &amp; HDPE Picking revenues</t>
  </si>
  <si>
    <t>£/t</t>
  </si>
  <si>
    <t>t/p.a.</t>
  </si>
  <si>
    <t>%</t>
  </si>
  <si>
    <t>t</t>
  </si>
  <si>
    <t>£</t>
  </si>
  <si>
    <t>HDPE Nat</t>
  </si>
  <si>
    <t>PET Nat</t>
  </si>
  <si>
    <t>Fibre, Tetra</t>
  </si>
  <si>
    <t>Ali Cans</t>
  </si>
  <si>
    <t>Residue</t>
  </si>
  <si>
    <t>HDPE Jazz &amp; White bottles</t>
  </si>
  <si>
    <t>PET Jazz &amp; Wrapped bottles</t>
  </si>
  <si>
    <t>PET &amp; PP trays Nat</t>
  </si>
  <si>
    <t>PET &amp; PP trays Jazz</t>
  </si>
  <si>
    <t>Value without sorting</t>
  </si>
  <si>
    <t>Value with sorting</t>
  </si>
  <si>
    <t>Additional revenue</t>
  </si>
  <si>
    <t>Plastic bottles 2024 - letsrecycle.com</t>
  </si>
  <si>
    <t>Company</t>
  </si>
  <si>
    <t>Person</t>
  </si>
  <si>
    <t>Status</t>
  </si>
  <si>
    <t>Name</t>
  </si>
  <si>
    <t>Type</t>
  </si>
  <si>
    <t>Introduced via</t>
  </si>
  <si>
    <t>Email</t>
  </si>
  <si>
    <t>Task</t>
  </si>
  <si>
    <t>Due date</t>
  </si>
  <si>
    <t>Cathay Pacific</t>
  </si>
  <si>
    <t>Waste generator</t>
  </si>
  <si>
    <t>Philippe Lacamp</t>
  </si>
  <si>
    <t>Victor (SF Cleantech conference)</t>
  </si>
  <si>
    <t>philippe_lacamp@cathaypacific.com</t>
  </si>
  <si>
    <t>Awaiting reply</t>
  </si>
  <si>
    <t>reconnect after CV-19</t>
  </si>
  <si>
    <t>BASF</t>
  </si>
  <si>
    <t>Reprocessor</t>
  </si>
  <si>
    <t>Vikas Aggarwal</t>
  </si>
  <si>
    <t>Theresa (AEPW)</t>
  </si>
  <si>
    <t>vikas.aggarwal@basf.com</t>
  </si>
  <si>
    <t>Followup</t>
  </si>
  <si>
    <t>PepsicCo</t>
  </si>
  <si>
    <t>Brand</t>
  </si>
  <si>
    <t>Paul Collins</t>
  </si>
  <si>
    <t>AEPW</t>
  </si>
  <si>
    <t>paul.collins2@pepsico.com</t>
  </si>
  <si>
    <t>Arriva</t>
  </si>
  <si>
    <t>Gareth Biggins</t>
  </si>
  <si>
    <t>Connected Places</t>
  </si>
  <si>
    <t xml:space="preserve"> &lt;bigginsg@arriva.co.uk&gt; </t>
  </si>
  <si>
    <t>Call him</t>
  </si>
  <si>
    <t>Viridor</t>
  </si>
  <si>
    <t>MRF</t>
  </si>
  <si>
    <t>Marcus Du Pree Thomas</t>
  </si>
  <si>
    <t>Victor (Sue Grimes)</t>
  </si>
  <si>
    <t>MThomas@viridor.co.uk</t>
  </si>
  <si>
    <t>Veolia GE</t>
  </si>
  <si>
    <t>Patrick Durand</t>
  </si>
  <si>
    <t>Stephaen</t>
  </si>
  <si>
    <t>patrick.durand2@veolia.com</t>
  </si>
  <si>
    <t>Followup after Timothee comes back</t>
  </si>
  <si>
    <t>SUEZ</t>
  </si>
  <si>
    <t>Collier, Andrew</t>
  </si>
  <si>
    <t>Victor (AEPW)</t>
  </si>
  <si>
    <t>Collier, Andrew &lt;andrew.collier@suez.com&gt;</t>
  </si>
  <si>
    <t>Followup following intro in beginign</t>
  </si>
  <si>
    <t>Veolia UK</t>
  </si>
  <si>
    <t>Timothee Duret</t>
  </si>
  <si>
    <t xml:space="preserve"> &lt;timothee.duret@veolia.com&gt;</t>
  </si>
  <si>
    <t>Followup up after his convo with French center</t>
  </si>
  <si>
    <t>Hammerson</t>
  </si>
  <si>
    <t>Marie Canton</t>
  </si>
  <si>
    <t>Victor friend Stan J.</t>
  </si>
  <si>
    <t>mcanton@hammerson.fr</t>
  </si>
  <si>
    <t>Followup with Stan</t>
  </si>
  <si>
    <t>Coca-Cola</t>
  </si>
  <si>
    <t xml:space="preserve">Patrick Ryan </t>
  </si>
  <si>
    <t>Teckn</t>
  </si>
  <si>
    <t>pryan@ccep.com</t>
  </si>
  <si>
    <t>Carbios</t>
  </si>
  <si>
    <t>Godefroy Motte</t>
  </si>
  <si>
    <t>Friend of Vincent Dewulf is in the board</t>
  </si>
  <si>
    <t>reachout</t>
  </si>
  <si>
    <t>DHL</t>
  </si>
  <si>
    <t>Rob Jones</t>
  </si>
  <si>
    <t>Rob (Gatwick)</t>
  </si>
  <si>
    <t>robert.a.jones@dhl.com</t>
  </si>
  <si>
    <t>Jack Jefferies</t>
  </si>
  <si>
    <t>Jack.Jefferis@dhl.com</t>
  </si>
  <si>
    <t>Tony Gillman</t>
  </si>
  <si>
    <t>Tony.Gillman@dhl.com</t>
  </si>
  <si>
    <t>Gatwick Airpot</t>
  </si>
  <si>
    <t>Rachel Thompson</t>
  </si>
  <si>
    <t>Cold email</t>
  </si>
  <si>
    <t>Rachel.Thompson@gatwickairport.com</t>
  </si>
  <si>
    <t>Rob Edmond</t>
  </si>
  <si>
    <t>Rob.Edmond@gatwickairport.com</t>
  </si>
  <si>
    <t>Simon Duggan</t>
  </si>
  <si>
    <t>Simon.Duggan@gatwickairport.com</t>
  </si>
  <si>
    <t>Nick Brown</t>
  </si>
  <si>
    <t>SOENCS project</t>
  </si>
  <si>
    <t>nbrown@ccep.com</t>
  </si>
  <si>
    <t>Lisa Foster</t>
  </si>
  <si>
    <t>lfoster@ccep.com</t>
  </si>
  <si>
    <t>Danone</t>
  </si>
  <si>
    <t>Aurore Siret</t>
  </si>
  <si>
    <t>Ian McDonald (Microsoft)</t>
  </si>
  <si>
    <t xml:space="preserve"> &lt;Aurore.SIRET@danone.com&gt;</t>
  </si>
  <si>
    <t>Adam Read</t>
  </si>
  <si>
    <t>Victor (Sue)</t>
  </si>
  <si>
    <t>adam.read@suez.com</t>
  </si>
  <si>
    <t>Hayward-Higham, Stuart</t>
  </si>
  <si>
    <t xml:space="preserve"> &lt;stuart.hayward-higham@suez.com&gt;</t>
  </si>
  <si>
    <t>Van Rijckevorsel, Franz</t>
  </si>
  <si>
    <t xml:space="preserve"> &lt;franz.vanrijckevorsel@suez.com&gt;</t>
  </si>
  <si>
    <t xml:space="preserve">Richard, Simon </t>
  </si>
  <si>
    <t>simon.richard@suez.com</t>
  </si>
  <si>
    <t>Ventura, Jean Luc</t>
  </si>
  <si>
    <t xml:space="preserve"> &lt;jean-luc.ventura@suez.com&gt;</t>
  </si>
  <si>
    <t>Lagrange, Valentine</t>
  </si>
  <si>
    <t xml:space="preserve"> &lt;valentine.lagrange@suez.com&gt;</t>
  </si>
  <si>
    <t>Christine Leveqye</t>
  </si>
  <si>
    <t xml:space="preserve">christine.leveque@suez.com&gt; </t>
  </si>
  <si>
    <t>Zariatti, Sabine</t>
  </si>
  <si>
    <t xml:space="preserve"> &lt;sabine.zariatti@suez.com&gt;</t>
  </si>
  <si>
    <t>Mooij, Vincent</t>
  </si>
  <si>
    <t xml:space="preserve"> &lt;vincent.mooij@suez.com&gt;</t>
  </si>
  <si>
    <t>Veolia (2EI)</t>
  </si>
  <si>
    <t>Other</t>
  </si>
  <si>
    <t xml:space="preserve">Pascal Peslerbe </t>
  </si>
  <si>
    <t>Nicolas lead (EIT)</t>
  </si>
  <si>
    <t>follow up</t>
  </si>
  <si>
    <t>Metivier, Pauline</t>
  </si>
  <si>
    <t xml:space="preserve"> &lt;pauline.metivier@veolia.com&gt;</t>
  </si>
  <si>
    <t>Richard Kirkman</t>
  </si>
  <si>
    <t xml:space="preserve"> &lt;richard.kirkman@veolia.com&gt; </t>
  </si>
  <si>
    <t>Stuart Stock</t>
  </si>
  <si>
    <t xml:space="preserve"> &lt;stuart.stock@veolia.com&gt;</t>
  </si>
  <si>
    <t>Veolia FR</t>
  </si>
  <si>
    <t>Phan Bai</t>
  </si>
  <si>
    <t>Biffa</t>
  </si>
  <si>
    <t>Neil Arlett</t>
  </si>
  <si>
    <t>Goldman Sachs (Jobke, Moritz)</t>
  </si>
  <si>
    <t xml:space="preserve"> &lt;neil.arlett@biffa.co.uk&gt;</t>
  </si>
  <si>
    <t>Mary Hood</t>
  </si>
  <si>
    <t xml:space="preserve"> &lt;mary.hood@biffa.co.uk&gt;</t>
  </si>
  <si>
    <t>Michael Topham</t>
  </si>
  <si>
    <t xml:space="preserve">michael.topham@biffa.co.uk </t>
  </si>
  <si>
    <t>Bywaters</t>
  </si>
  <si>
    <t xml:space="preserve">Anthony Egbokhan </t>
  </si>
  <si>
    <t>a.egbokhan@bywaters.co.uk</t>
  </si>
  <si>
    <t>Mark Harbard</t>
  </si>
  <si>
    <t>m.harbard@bywaters.co.uk</t>
  </si>
  <si>
    <t>Edward van Reenen</t>
  </si>
  <si>
    <t>e.vanreenen@bywaters.co.uk</t>
  </si>
  <si>
    <t>Amey</t>
  </si>
  <si>
    <t>Olivier Fernandez</t>
  </si>
  <si>
    <t>Oliver.Fernandez@amey.co.uk</t>
  </si>
  <si>
    <t>Matt Grear</t>
  </si>
  <si>
    <t>Matt.Gear@amey.co.uk</t>
  </si>
  <si>
    <t>Simon Grundy</t>
  </si>
  <si>
    <t>Simon.grundy@amey.co.uk</t>
  </si>
  <si>
    <t>Sainsburry</t>
  </si>
  <si>
    <t>Retail</t>
  </si>
  <si>
    <t>Greg Simmonds</t>
  </si>
  <si>
    <t>Victor (CivEng)</t>
  </si>
  <si>
    <t xml:space="preserve"> &lt;Greg.Simmonds@sainsburys.co.uk&gt;</t>
  </si>
  <si>
    <t>Highland Spring</t>
  </si>
  <si>
    <t xml:space="preserve">Alex Haken </t>
  </si>
  <si>
    <t>alexh@highlandspringgroup.com</t>
  </si>
  <si>
    <t xml:space="preserve">BI </t>
  </si>
  <si>
    <t>Toby Park</t>
  </si>
  <si>
    <t xml:space="preserve"> &lt;toby.park@bi.team&gt;</t>
  </si>
  <si>
    <t>Felicity Aylward</t>
  </si>
  <si>
    <t>Felicity.Aylward@sainsburys.co.uk</t>
  </si>
  <si>
    <t>Claire Huges</t>
  </si>
  <si>
    <t>Claire.Hughes@sainsburys.co.uk</t>
  </si>
  <si>
    <t>Jerome Labie Duflot</t>
  </si>
  <si>
    <t>Terracycle</t>
  </si>
  <si>
    <t xml:space="preserve">Richard Devine 
</t>
  </si>
  <si>
    <t>&lt;richard.devine.contractor@terracycle.com&gt;</t>
  </si>
  <si>
    <t>Grosvenor</t>
  </si>
  <si>
    <t>Marie Lethellier</t>
  </si>
  <si>
    <t>marie.lethellier@terracycle.com</t>
  </si>
  <si>
    <t>Hema Selvaraj</t>
  </si>
  <si>
    <t xml:space="preserve"> &lt;Hema.Selvaraj@grosvenor.com&gt;</t>
  </si>
  <si>
    <t>Grundon</t>
  </si>
  <si>
    <t>Yves Herbert</t>
  </si>
  <si>
    <t>Helvetia-Environnement</t>
  </si>
  <si>
    <t>Vincent Chapel</t>
  </si>
  <si>
    <t>Stéphane Rambaud-Measson</t>
  </si>
  <si>
    <t>V.Chapel@helvetia-environnement.ch</t>
  </si>
  <si>
    <t>Brussels Airport</t>
  </si>
  <si>
    <t xml:space="preserve">Sarah Van Den Heuvel </t>
  </si>
  <si>
    <t>Victor (GSTIC)</t>
  </si>
  <si>
    <t>&lt;sarah.van.den.heuvel@brusselsairport.be&gt;</t>
  </si>
  <si>
    <t>Franz Kauzlaric</t>
  </si>
  <si>
    <t xml:space="preserve">Fran.Kauzlaric@brusselsairport.be; </t>
  </si>
  <si>
    <t>Klaus De Geyter</t>
  </si>
  <si>
    <t>klaus.de.geyter@brusselsairport.be</t>
  </si>
  <si>
    <t>Imog</t>
  </si>
  <si>
    <t>Microsoft</t>
  </si>
  <si>
    <t>Giri Fox</t>
  </si>
  <si>
    <t>He has a lead!!</t>
  </si>
  <si>
    <t>Renewi</t>
  </si>
  <si>
    <t>Nicolas Menou</t>
  </si>
  <si>
    <t>Omrin</t>
  </si>
  <si>
    <t>mini-MRF</t>
  </si>
  <si>
    <t>Via Chris chesemann - he is head of sustainabilty at Imperial</t>
  </si>
  <si>
    <t>https://www.imperial.ac.uk/people/p.lickiss</t>
  </si>
  <si>
    <t>WSP</t>
  </si>
  <si>
    <t>Consultant</t>
  </si>
  <si>
    <t>Matthew Venn</t>
  </si>
  <si>
    <t>Reach back out in future an update on system (they have many miniMRF clients)</t>
  </si>
  <si>
    <t>RolandBerger</t>
  </si>
  <si>
    <t>Hani Tohme</t>
  </si>
  <si>
    <t>Stephan and Victor Internship</t>
  </si>
  <si>
    <t>hani.tohme@rolandberger.com</t>
  </si>
  <si>
    <t>Very happy to indroduce is to loads of people in the Middle East Market - need to reconnect early 2021</t>
  </si>
  <si>
    <t>URW</t>
  </si>
  <si>
    <t>https://urwlab.com/the-mixer/</t>
  </si>
  <si>
    <t>Geocycle</t>
  </si>
  <si>
    <t>Follow up after initial call</t>
  </si>
  <si>
    <t>Boomera</t>
  </si>
  <si>
    <t>all</t>
  </si>
  <si>
    <t>Gui</t>
  </si>
  <si>
    <t>gui.brammer@boomera.com.br</t>
  </si>
  <si>
    <t>Plug &amp; Play</t>
  </si>
  <si>
    <t>Accelerator</t>
  </si>
  <si>
    <t>Alexandra</t>
  </si>
  <si>
    <t>Follow up with regards to plug and play intros</t>
  </si>
  <si>
    <t>Borealis</t>
  </si>
  <si>
    <t>renewi</t>
  </si>
  <si>
    <t>WRWA</t>
  </si>
  <si>
    <t>FCC Environment (FCC)</t>
  </si>
  <si>
    <t>Paul Taylor CEO's email: paul.taylor@wrg.co.uk</t>
  </si>
  <si>
    <t>Internet search</t>
  </si>
  <si>
    <t>Andres Camacho acamacho@ferrovial.com Business Development Director; andrew.nelson@amey.co.uk CFO</t>
  </si>
  <si>
    <t>DS Smith</t>
  </si>
  <si>
    <t>alex.manisty@dssmith.com; guy.lacey@dssmith.com</t>
  </si>
  <si>
    <t>g.slade@shanksplc.com Geogre Slade IT Director</t>
  </si>
  <si>
    <t>Enva</t>
  </si>
  <si>
    <t>tom.walsh@enva.com CEO</t>
  </si>
  <si>
    <t>KIER</t>
  </si>
  <si>
    <t>Mick George</t>
  </si>
  <si>
    <t>Pete Newman newman@mickgeorge.co.uk; Neil Johnson newman@mickgeorge.co.uk  (Engineering &amp; Technical Directors)</t>
  </si>
  <si>
    <t>British Land (Broadgate)</t>
  </si>
  <si>
    <t>tom.duffy@britishland.com</t>
  </si>
  <si>
    <t>Reconomy</t>
  </si>
  <si>
    <t>michaelbenton@reconomy.com (Operations) paulcox@reconomy.com (CEO) harveylaud@reconomy.com (Divisional B&amp;I)</t>
  </si>
  <si>
    <t>Cory Riverside Energy</t>
  </si>
  <si>
    <t xml:space="preserve">andy.pike@coryenergy.com (Strategic) dougie.sutherland@coryenergy.com (CEO)
</t>
  </si>
  <si>
    <t>Hills UK</t>
  </si>
  <si>
    <t>edwyn.dodd@hills-group.co.uk (Operations)</t>
  </si>
  <si>
    <t>VSaica Natur</t>
  </si>
  <si>
    <t>brian.lister@saica.com matthew.berrill@saica.com (UK &amp; Operations)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</si>
</sst>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&quot;£&quot;#,##0;[Red]\-&quot;£&quot;#,##0"/>
    <numFmt numFmtId="165" formatCode="_-&quot;£&quot;* #,##0.00_-;\-&quot;£&quot;* #,##0.00_-;_-&quot;£&quot;* &quot;-&quot;??_-;_-@_-"/>
    <numFmt numFmtId="166" formatCode="_-* #,##0.00_-;\-* #,##0.00_-;_-* &quot;-&quot;??_-;_-@_-"/>
    <numFmt numFmtId="167" formatCode="_-* #,##0_-;\-* #,##0_-;_-* &quot;-&quot;??_-;_-@_-"/>
    <numFmt numFmtId="168" formatCode="[$£]#,##0"/>
    <numFmt numFmtId="169" formatCode="_-[$£-809]* #,##0_-;\-[$£-809]* #,##0_-;_-[$£-809]* &quot;-&quot;??_-;_-@_-"/>
    <numFmt numFmtId="170" formatCode="_([$€-2]\ * #,##0_);_([$€-2]\ * \(#,##0\);_([$€-2]\ * &quot;-&quot;??_);_(@_)"/>
    <numFmt numFmtId="171" formatCode="0.00\ &quot;yrs&quot;"/>
    <numFmt numFmtId="172" formatCode="#,##0_ ;\-#,##0\ "/>
    <numFmt numFmtId="173" formatCode="0\ &quot;FTE&quot;"/>
    <numFmt numFmtId="174" formatCode="&quot;£&quot;#,##0"/>
    <numFmt numFmtId="175" formatCode="0.0\ &quot;FTE&quot;"/>
    <numFmt numFmtId="176" formatCode="0.00000\ &quot;yrs&quot;"/>
    <numFmt numFmtId="177" formatCode="0.0000"/>
    <numFmt numFmtId="178" formatCode="_-[$£-809]* #,##0.0_-;\-[$£-809]* #,##0.0_-;_-[$£-809]* &quot;-&quot;?_-;_-@_-"/>
    <numFmt numFmtId="179" formatCode="_-[$£-809]* #,##0.00_-;\-[$£-809]* #,##0.00_-;_-[$£-809]* &quot;-&quot;??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u val="singleAccounting"/>
      <sz val="11"/>
      <color rgb="FF00B050"/>
      <name val="Calibri"/>
      <family val="2"/>
      <scheme val="minor"/>
    </font>
    <font>
      <sz val="11"/>
      <color theme="3" tint="-0.24994659260841701"/>
      <name val="Calibri"/>
      <family val="2"/>
      <scheme val="minor"/>
    </font>
    <font>
      <b/>
      <sz val="12"/>
      <color rgb="FFF9423A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3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0"/>
      <color rgb="FF333333"/>
      <name val="Verdana"/>
      <family val="2"/>
    </font>
    <font>
      <b/>
      <u val="singleAccounting"/>
      <sz val="11"/>
      <color rgb="FFA9D6A3"/>
      <name val="Calibri"/>
      <family val="2"/>
      <scheme val="minor"/>
    </font>
    <font>
      <sz val="11"/>
      <color rgb="FF4D4D4D"/>
      <name val="Calibri"/>
      <family val="2"/>
      <scheme val="minor"/>
    </font>
    <font>
      <sz val="8"/>
      <name val="Calibri"/>
      <family val="2"/>
      <scheme val="minor"/>
    </font>
    <font>
      <sz val="10"/>
      <color rgb="FF135268"/>
      <name val="Roboto"/>
    </font>
    <font>
      <b/>
      <sz val="10"/>
      <color theme="0"/>
      <name val="Roboto"/>
    </font>
    <font>
      <b/>
      <sz val="11"/>
      <color theme="0"/>
      <name val="Roboto"/>
    </font>
    <font>
      <b/>
      <sz val="11"/>
      <color rgb="FF00B050"/>
      <name val="Roboto"/>
    </font>
    <font>
      <b/>
      <sz val="36"/>
      <color rgb="FF135268"/>
      <name val="Gilroy Black"/>
      <family val="3"/>
    </font>
    <font>
      <sz val="10"/>
      <name val="Roboto"/>
    </font>
  </fonts>
  <fills count="1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135377"/>
        <bgColor indexed="64"/>
      </patternFill>
    </fill>
    <fill>
      <patternFill patternType="solid">
        <fgColor rgb="FF54AD47"/>
        <bgColor rgb="FFF2914D"/>
      </patternFill>
    </fill>
    <fill>
      <patternFill patternType="solid">
        <fgColor rgb="FFFFFFFF"/>
        <bgColor rgb="FF000000"/>
      </patternFill>
    </fill>
    <fill>
      <patternFill patternType="solid">
        <fgColor rgb="FF54AD47"/>
        <bgColor indexed="64"/>
      </patternFill>
    </fill>
    <fill>
      <patternFill patternType="solid">
        <fgColor rgb="FF89A9BB"/>
        <bgColor indexed="64"/>
      </patternFill>
    </fill>
    <fill>
      <patternFill patternType="solid">
        <fgColor rgb="FFA9D6A3"/>
        <bgColor indexed="64"/>
      </patternFill>
    </fill>
    <fill>
      <patternFill patternType="solid">
        <fgColor rgb="FFA9D6A3"/>
        <bgColor rgb="FFF2914D"/>
      </patternFill>
    </fill>
    <fill>
      <patternFill patternType="mediumGray">
        <bgColor theme="0" tint="-0.249977111117893"/>
      </patternFill>
    </fill>
    <fill>
      <patternFill patternType="lightGray">
        <bgColor theme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rgb="FFF2914D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6" tint="0.39994506668294322"/>
      </top>
      <bottom style="thin">
        <color theme="6" tint="0.399945066682943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rgb="FF00B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ck">
        <color rgb="FFA9D6A3"/>
      </top>
      <bottom/>
      <diagonal/>
    </border>
    <border>
      <left/>
      <right/>
      <top style="thin">
        <color rgb="FF333333"/>
      </top>
      <bottom/>
      <diagonal/>
    </border>
    <border>
      <left/>
      <right/>
      <top style="thin">
        <color rgb="FF333333"/>
      </top>
      <bottom style="thin">
        <color rgb="FF333333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thick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166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14" fontId="1" fillId="0" borderId="0" applyFont="0" applyFill="0" applyBorder="0">
      <alignment horizontal="center" vertical="center"/>
    </xf>
    <xf numFmtId="9" fontId="1" fillId="0" borderId="0" applyFont="0" applyFill="0" applyBorder="0" applyAlignment="0" applyProtection="0"/>
    <xf numFmtId="0" fontId="1" fillId="5" borderId="0" applyNumberFormat="0" applyBorder="0" applyAlignment="0" applyProtection="0"/>
    <xf numFmtId="166" fontId="1" fillId="0" borderId="0" applyFont="0" applyFill="0" applyBorder="0" applyAlignment="0" applyProtection="0"/>
    <xf numFmtId="0" fontId="10" fillId="0" borderId="5" applyNumberFormat="0" applyFill="0" applyAlignment="0" applyProtection="0"/>
  </cellStyleXfs>
  <cellXfs count="128">
    <xf numFmtId="0" fontId="0" fillId="0" borderId="0" xfId="0"/>
    <xf numFmtId="0" fontId="0" fillId="4" borderId="0" xfId="0" applyFill="1"/>
    <xf numFmtId="0" fontId="3" fillId="3" borderId="0" xfId="3" applyFill="1" applyBorder="1" applyAlignment="1">
      <alignment horizontal="center"/>
    </xf>
    <xf numFmtId="166" fontId="4" fillId="4" borderId="0" xfId="1" applyFont="1" applyFill="1" applyAlignment="1">
      <alignment horizontal="centerContinuous"/>
    </xf>
    <xf numFmtId="0" fontId="3" fillId="3" borderId="0" xfId="3" applyFill="1" applyBorder="1" applyAlignment="1">
      <alignment horizontal="centerContinuous" wrapText="1"/>
    </xf>
    <xf numFmtId="164" fontId="0" fillId="4" borderId="1" xfId="1" applyNumberFormat="1" applyFont="1" applyFill="1" applyBorder="1"/>
    <xf numFmtId="164" fontId="2" fillId="4" borderId="1" xfId="2" applyNumberFormat="1" applyFill="1" applyBorder="1"/>
    <xf numFmtId="14" fontId="0" fillId="4" borderId="1" xfId="1" applyNumberFormat="1" applyFont="1" applyFill="1" applyBorder="1"/>
    <xf numFmtId="164" fontId="0" fillId="4" borderId="1" xfId="1" applyNumberFormat="1" applyFont="1" applyFill="1" applyBorder="1" applyAlignment="1">
      <alignment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14" fontId="5" fillId="0" borderId="2" xfId="4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2" xfId="0" applyFont="1" applyBorder="1"/>
    <xf numFmtId="164" fontId="0" fillId="4" borderId="1" xfId="1" applyNumberFormat="1" applyFont="1" applyFill="1" applyBorder="1" applyAlignment="1"/>
    <xf numFmtId="0" fontId="2" fillId="0" borderId="1" xfId="2" applyBorder="1"/>
    <xf numFmtId="0" fontId="2" fillId="0" borderId="0" xfId="2"/>
    <xf numFmtId="0" fontId="6" fillId="0" borderId="0" xfId="0" applyFont="1"/>
    <xf numFmtId="164" fontId="0" fillId="4" borderId="0" xfId="1" applyNumberFormat="1" applyFont="1" applyFill="1" applyBorder="1"/>
    <xf numFmtId="0" fontId="8" fillId="6" borderId="0" xfId="3" applyFont="1" applyFill="1" applyAlignment="1">
      <alignment horizontal="centerContinuous"/>
    </xf>
    <xf numFmtId="166" fontId="4" fillId="4" borderId="0" xfId="7" applyFont="1" applyFill="1" applyAlignment="1">
      <alignment horizontal="centerContinuous"/>
    </xf>
    <xf numFmtId="168" fontId="9" fillId="4" borderId="3" xfId="0" applyNumberFormat="1" applyFont="1" applyFill="1" applyBorder="1"/>
    <xf numFmtId="167" fontId="7" fillId="5" borderId="7" xfId="6" applyNumberFormat="1" applyFont="1" applyBorder="1"/>
    <xf numFmtId="0" fontId="11" fillId="4" borderId="0" xfId="0" applyFont="1" applyFill="1"/>
    <xf numFmtId="168" fontId="9" fillId="4" borderId="0" xfId="0" applyNumberFormat="1" applyFont="1" applyFill="1"/>
    <xf numFmtId="170" fontId="8" fillId="7" borderId="8" xfId="1" applyNumberFormat="1" applyFont="1" applyFill="1" applyBorder="1"/>
    <xf numFmtId="170" fontId="8" fillId="7" borderId="0" xfId="1" applyNumberFormat="1" applyFont="1" applyFill="1" applyBorder="1"/>
    <xf numFmtId="0" fontId="13" fillId="4" borderId="6" xfId="8" applyFont="1" applyFill="1" applyBorder="1" applyAlignment="1">
      <alignment horizontal="centerContinuous"/>
    </xf>
    <xf numFmtId="0" fontId="0" fillId="4" borderId="1" xfId="1" applyNumberFormat="1" applyFont="1" applyFill="1" applyBorder="1"/>
    <xf numFmtId="0" fontId="9" fillId="4" borderId="0" xfId="1" applyNumberFormat="1" applyFont="1" applyFill="1" applyBorder="1" applyAlignment="1">
      <alignment horizontal="center"/>
    </xf>
    <xf numFmtId="169" fontId="0" fillId="4" borderId="1" xfId="0" applyNumberFormat="1" applyFill="1" applyBorder="1"/>
    <xf numFmtId="168" fontId="9" fillId="4" borderId="9" xfId="0" applyNumberFormat="1" applyFont="1" applyFill="1" applyBorder="1" applyAlignment="1">
      <alignment horizontal="left" vertical="center"/>
    </xf>
    <xf numFmtId="168" fontId="9" fillId="4" borderId="0" xfId="0" applyNumberFormat="1" applyFont="1" applyFill="1" applyAlignment="1">
      <alignment horizontal="left" vertical="center"/>
    </xf>
    <xf numFmtId="168" fontId="9" fillId="8" borderId="0" xfId="0" applyNumberFormat="1" applyFont="1" applyFill="1"/>
    <xf numFmtId="0" fontId="13" fillId="4" borderId="6" xfId="8" applyFont="1" applyFill="1" applyBorder="1" applyAlignment="1">
      <alignment horizontal="center"/>
    </xf>
    <xf numFmtId="166" fontId="4" fillId="4" borderId="0" xfId="7" applyFont="1" applyFill="1" applyAlignment="1">
      <alignment horizontal="center"/>
    </xf>
    <xf numFmtId="168" fontId="0" fillId="4" borderId="1" xfId="1" applyNumberFormat="1" applyFont="1" applyFill="1" applyBorder="1"/>
    <xf numFmtId="169" fontId="0" fillId="4" borderId="0" xfId="0" applyNumberFormat="1" applyFill="1"/>
    <xf numFmtId="0" fontId="0" fillId="4" borderId="0" xfId="0" applyFill="1" applyAlignment="1">
      <alignment horizontal="center"/>
    </xf>
    <xf numFmtId="0" fontId="13" fillId="4" borderId="0" xfId="8" applyFont="1" applyFill="1" applyBorder="1" applyAlignment="1">
      <alignment horizontal="centerContinuous"/>
    </xf>
    <xf numFmtId="166" fontId="0" fillId="4" borderId="0" xfId="0" applyNumberFormat="1" applyFill="1"/>
    <xf numFmtId="166" fontId="4" fillId="4" borderId="0" xfId="7" applyFont="1" applyFill="1" applyBorder="1" applyAlignment="1">
      <alignment horizontal="center"/>
    </xf>
    <xf numFmtId="168" fontId="8" fillId="9" borderId="10" xfId="0" applyNumberFormat="1" applyFont="1" applyFill="1" applyBorder="1" applyAlignment="1">
      <alignment horizontal="centerContinuous"/>
    </xf>
    <xf numFmtId="167" fontId="7" fillId="5" borderId="3" xfId="6" applyNumberFormat="1" applyFont="1" applyBorder="1" applyAlignment="1">
      <alignment horizontal="centerContinuous"/>
    </xf>
    <xf numFmtId="173" fontId="7" fillId="5" borderId="3" xfId="6" applyNumberFormat="1" applyFont="1" applyBorder="1" applyAlignment="1">
      <alignment horizontal="centerContinuous"/>
    </xf>
    <xf numFmtId="169" fontId="7" fillId="5" borderId="3" xfId="6" applyNumberFormat="1" applyFont="1" applyBorder="1" applyAlignment="1">
      <alignment horizontal="centerContinuous"/>
    </xf>
    <xf numFmtId="9" fontId="7" fillId="5" borderId="3" xfId="5" applyFont="1" applyFill="1" applyBorder="1" applyAlignment="1">
      <alignment horizontal="centerContinuous"/>
    </xf>
    <xf numFmtId="0" fontId="0" fillId="4" borderId="7" xfId="0" applyFill="1" applyBorder="1"/>
    <xf numFmtId="17" fontId="7" fillId="4" borderId="1" xfId="6" applyNumberFormat="1" applyFont="1" applyFill="1" applyBorder="1" applyAlignment="1">
      <alignment horizontal="centerContinuous"/>
    </xf>
    <xf numFmtId="165" fontId="12" fillId="4" borderId="0" xfId="0" applyNumberFormat="1" applyFont="1" applyFill="1" applyAlignment="1">
      <alignment horizontal="centerContinuous" vertical="top" wrapText="1"/>
    </xf>
    <xf numFmtId="174" fontId="7" fillId="5" borderId="3" xfId="6" applyNumberFormat="1" applyFont="1" applyBorder="1" applyAlignment="1">
      <alignment horizontal="left"/>
    </xf>
    <xf numFmtId="9" fontId="7" fillId="5" borderId="3" xfId="5" applyFont="1" applyFill="1" applyBorder="1" applyAlignment="1">
      <alignment horizontal="left"/>
    </xf>
    <xf numFmtId="1" fontId="7" fillId="5" borderId="3" xfId="6" applyNumberFormat="1" applyFont="1" applyBorder="1" applyAlignment="1">
      <alignment horizontal="left"/>
    </xf>
    <xf numFmtId="172" fontId="7" fillId="5" borderId="3" xfId="6" applyNumberFormat="1" applyFont="1" applyBorder="1" applyAlignment="1">
      <alignment horizontal="left"/>
    </xf>
    <xf numFmtId="0" fontId="0" fillId="4" borderId="0" xfId="0" applyFill="1" applyAlignment="1">
      <alignment horizontal="left"/>
    </xf>
    <xf numFmtId="1" fontId="7" fillId="4" borderId="3" xfId="6" applyNumberFormat="1" applyFont="1" applyFill="1" applyBorder="1" applyAlignment="1">
      <alignment horizontal="left" vertical="center"/>
    </xf>
    <xf numFmtId="175" fontId="7" fillId="5" borderId="3" xfId="6" applyNumberFormat="1" applyFont="1" applyBorder="1" applyAlignment="1">
      <alignment horizontal="left"/>
    </xf>
    <xf numFmtId="9" fontId="0" fillId="4" borderId="0" xfId="5" applyFont="1" applyFill="1"/>
    <xf numFmtId="165" fontId="12" fillId="4" borderId="0" xfId="0" applyNumberFormat="1" applyFont="1" applyFill="1" applyAlignment="1">
      <alignment horizontal="center" vertical="top" wrapText="1"/>
    </xf>
    <xf numFmtId="0" fontId="8" fillId="10" borderId="0" xfId="3" applyFont="1" applyFill="1" applyAlignment="1">
      <alignment horizontal="centerContinuous"/>
    </xf>
    <xf numFmtId="170" fontId="8" fillId="12" borderId="0" xfId="1" applyNumberFormat="1" applyFont="1" applyFill="1" applyBorder="1"/>
    <xf numFmtId="170" fontId="8" fillId="12" borderId="8" xfId="1" applyNumberFormat="1" applyFont="1" applyFill="1" applyBorder="1"/>
    <xf numFmtId="0" fontId="13" fillId="4" borderId="0" xfId="8" applyFont="1" applyFill="1" applyBorder="1" applyAlignment="1">
      <alignment horizontal="center"/>
    </xf>
    <xf numFmtId="166" fontId="15" fillId="4" borderId="11" xfId="7" applyFont="1" applyFill="1" applyBorder="1" applyAlignment="1">
      <alignment horizontal="center"/>
    </xf>
    <xf numFmtId="169" fontId="16" fillId="4" borderId="13" xfId="0" applyNumberFormat="1" applyFont="1" applyFill="1" applyBorder="1"/>
    <xf numFmtId="0" fontId="16" fillId="4" borderId="13" xfId="1" applyNumberFormat="1" applyFont="1" applyFill="1" applyBorder="1"/>
    <xf numFmtId="0" fontId="16" fillId="4" borderId="12" xfId="0" applyFont="1" applyFill="1" applyBorder="1"/>
    <xf numFmtId="165" fontId="12" fillId="4" borderId="9" xfId="0" applyNumberFormat="1" applyFont="1" applyFill="1" applyBorder="1" applyAlignment="1">
      <alignment horizontal="center" vertical="top" wrapText="1"/>
    </xf>
    <xf numFmtId="170" fontId="8" fillId="7" borderId="14" xfId="1" applyNumberFormat="1" applyFont="1" applyFill="1" applyBorder="1"/>
    <xf numFmtId="0" fontId="0" fillId="4" borderId="0" xfId="0" applyFill="1" applyAlignment="1">
      <alignment vertical="top"/>
    </xf>
    <xf numFmtId="0" fontId="14" fillId="4" borderId="0" xfId="0" applyFont="1" applyFill="1"/>
    <xf numFmtId="171" fontId="8" fillId="7" borderId="4" xfId="1" applyNumberFormat="1" applyFont="1" applyFill="1" applyBorder="1" applyAlignment="1">
      <alignment horizontal="center"/>
    </xf>
    <xf numFmtId="168" fontId="8" fillId="9" borderId="15" xfId="0" applyNumberFormat="1" applyFont="1" applyFill="1" applyBorder="1" applyAlignment="1">
      <alignment horizontal="center"/>
    </xf>
    <xf numFmtId="168" fontId="8" fillId="9" borderId="10" xfId="0" applyNumberFormat="1" applyFont="1" applyFill="1" applyBorder="1" applyAlignment="1">
      <alignment horizontal="center"/>
    </xf>
    <xf numFmtId="168" fontId="8" fillId="9" borderId="10" xfId="0" applyNumberFormat="1" applyFont="1" applyFill="1" applyBorder="1" applyAlignment="1">
      <alignment horizontal="left"/>
    </xf>
    <xf numFmtId="168" fontId="8" fillId="11" borderId="10" xfId="0" applyNumberFormat="1" applyFont="1" applyFill="1" applyBorder="1" applyAlignment="1">
      <alignment horizontal="left"/>
    </xf>
    <xf numFmtId="0" fontId="16" fillId="4" borderId="0" xfId="0" applyFont="1" applyFill="1"/>
    <xf numFmtId="168" fontId="8" fillId="9" borderId="15" xfId="0" applyNumberFormat="1" applyFont="1" applyFill="1" applyBorder="1" applyAlignment="1">
      <alignment horizontal="left"/>
    </xf>
    <xf numFmtId="171" fontId="8" fillId="7" borderId="4" xfId="1" applyNumberFormat="1" applyFont="1" applyFill="1" applyBorder="1" applyAlignment="1">
      <alignment horizontal="left"/>
    </xf>
    <xf numFmtId="170" fontId="8" fillId="7" borderId="0" xfId="1" applyNumberFormat="1" applyFont="1" applyFill="1" applyBorder="1" applyAlignment="1">
      <alignment horizontal="left"/>
    </xf>
    <xf numFmtId="170" fontId="8" fillId="7" borderId="14" xfId="1" applyNumberFormat="1" applyFont="1" applyFill="1" applyBorder="1" applyAlignment="1">
      <alignment horizontal="left"/>
    </xf>
    <xf numFmtId="174" fontId="0" fillId="4" borderId="0" xfId="0" applyNumberFormat="1" applyFill="1"/>
    <xf numFmtId="168" fontId="8" fillId="9" borderId="10" xfId="0" applyNumberFormat="1" applyFont="1" applyFill="1" applyBorder="1"/>
    <xf numFmtId="174" fontId="7" fillId="13" borderId="3" xfId="6" applyNumberFormat="1" applyFont="1" applyFill="1" applyBorder="1" applyAlignment="1">
      <alignment horizontal="left"/>
    </xf>
    <xf numFmtId="168" fontId="8" fillId="11" borderId="10" xfId="0" applyNumberFormat="1" applyFont="1" applyFill="1" applyBorder="1"/>
    <xf numFmtId="9" fontId="8" fillId="12" borderId="4" xfId="5" applyFont="1" applyFill="1" applyBorder="1" applyAlignment="1"/>
    <xf numFmtId="171" fontId="8" fillId="12" borderId="4" xfId="1" applyNumberFormat="1" applyFont="1" applyFill="1" applyBorder="1" applyAlignment="1"/>
    <xf numFmtId="168" fontId="8" fillId="11" borderId="15" xfId="0" applyNumberFormat="1" applyFont="1" applyFill="1" applyBorder="1"/>
    <xf numFmtId="176" fontId="8" fillId="7" borderId="4" xfId="1" applyNumberFormat="1" applyFont="1" applyFill="1" applyBorder="1" applyAlignment="1">
      <alignment horizontal="left"/>
    </xf>
    <xf numFmtId="9" fontId="8" fillId="7" borderId="4" xfId="5" applyFont="1" applyFill="1" applyBorder="1" applyAlignment="1">
      <alignment horizontal="left"/>
    </xf>
    <xf numFmtId="170" fontId="8" fillId="7" borderId="8" xfId="1" applyNumberFormat="1" applyFont="1" applyFill="1" applyBorder="1" applyAlignment="1">
      <alignment horizontal="left"/>
    </xf>
    <xf numFmtId="168" fontId="8" fillId="11" borderId="15" xfId="0" applyNumberFormat="1" applyFont="1" applyFill="1" applyBorder="1" applyAlignment="1">
      <alignment horizontal="left"/>
    </xf>
    <xf numFmtId="171" fontId="8" fillId="12" borderId="4" xfId="1" applyNumberFormat="1" applyFont="1" applyFill="1" applyBorder="1" applyAlignment="1">
      <alignment horizontal="left"/>
    </xf>
    <xf numFmtId="9" fontId="8" fillId="12" borderId="4" xfId="5" applyFont="1" applyFill="1" applyBorder="1" applyAlignment="1">
      <alignment horizontal="left"/>
    </xf>
    <xf numFmtId="170" fontId="8" fillId="12" borderId="0" xfId="1" applyNumberFormat="1" applyFont="1" applyFill="1" applyBorder="1" applyAlignment="1">
      <alignment horizontal="left"/>
    </xf>
    <xf numFmtId="170" fontId="8" fillId="12" borderId="8" xfId="1" applyNumberFormat="1" applyFont="1" applyFill="1" applyBorder="1" applyAlignment="1">
      <alignment horizontal="left"/>
    </xf>
    <xf numFmtId="174" fontId="0" fillId="4" borderId="1" xfId="1" applyNumberFormat="1" applyFont="1" applyFill="1" applyBorder="1"/>
    <xf numFmtId="168" fontId="0" fillId="4" borderId="0" xfId="0" applyNumberFormat="1" applyFill="1"/>
    <xf numFmtId="0" fontId="18" fillId="0" borderId="0" xfId="0" applyFont="1" applyAlignment="1">
      <alignment vertical="center"/>
    </xf>
    <xf numFmtId="177" fontId="18" fillId="0" borderId="0" xfId="0" applyNumberFormat="1" applyFont="1" applyAlignment="1">
      <alignment vertical="center"/>
    </xf>
    <xf numFmtId="0" fontId="18" fillId="4" borderId="0" xfId="0" applyFont="1" applyFill="1" applyAlignment="1">
      <alignment vertical="center"/>
    </xf>
    <xf numFmtId="167" fontId="18" fillId="0" borderId="0" xfId="1" applyNumberFormat="1" applyFont="1" applyAlignment="1">
      <alignment vertical="center"/>
    </xf>
    <xf numFmtId="166" fontId="18" fillId="0" borderId="0" xfId="1" applyFont="1" applyAlignment="1">
      <alignment vertical="center"/>
    </xf>
    <xf numFmtId="166" fontId="18" fillId="4" borderId="0" xfId="1" applyFont="1" applyFill="1" applyAlignment="1">
      <alignment vertical="center"/>
    </xf>
    <xf numFmtId="178" fontId="18" fillId="4" borderId="0" xfId="0" applyNumberFormat="1" applyFont="1" applyFill="1" applyAlignment="1">
      <alignment vertical="center"/>
    </xf>
    <xf numFmtId="179" fontId="18" fillId="4" borderId="0" xfId="0" applyNumberFormat="1" applyFont="1" applyFill="1" applyAlignment="1">
      <alignment vertical="center"/>
    </xf>
    <xf numFmtId="169" fontId="19" fillId="7" borderId="16" xfId="1" applyNumberFormat="1" applyFont="1" applyFill="1" applyBorder="1"/>
    <xf numFmtId="169" fontId="18" fillId="14" borderId="17" xfId="0" applyNumberFormat="1" applyFont="1" applyFill="1" applyBorder="1" applyAlignment="1">
      <alignment vertical="center"/>
    </xf>
    <xf numFmtId="169" fontId="18" fillId="4" borderId="0" xfId="0" applyNumberFormat="1" applyFont="1" applyFill="1" applyAlignment="1">
      <alignment vertical="center"/>
    </xf>
    <xf numFmtId="9" fontId="18" fillId="4" borderId="17" xfId="5" applyFont="1" applyFill="1" applyBorder="1" applyAlignment="1">
      <alignment vertical="center"/>
    </xf>
    <xf numFmtId="167" fontId="18" fillId="4" borderId="17" xfId="1" applyNumberFormat="1" applyFont="1" applyFill="1" applyBorder="1" applyAlignment="1">
      <alignment vertical="center"/>
    </xf>
    <xf numFmtId="9" fontId="18" fillId="15" borderId="1" xfId="5" applyFont="1" applyFill="1" applyBorder="1" applyAlignment="1">
      <alignment vertical="center"/>
    </xf>
    <xf numFmtId="167" fontId="18" fillId="0" borderId="3" xfId="1" applyNumberFormat="1" applyFont="1" applyBorder="1" applyAlignment="1">
      <alignment vertical="center"/>
    </xf>
    <xf numFmtId="169" fontId="18" fillId="15" borderId="1" xfId="0" applyNumberFormat="1" applyFont="1" applyFill="1" applyBorder="1" applyAlignment="1">
      <alignment vertical="center"/>
    </xf>
    <xf numFmtId="169" fontId="18" fillId="4" borderId="1" xfId="0" applyNumberFormat="1" applyFont="1" applyFill="1" applyBorder="1" applyAlignment="1">
      <alignment vertical="center"/>
    </xf>
    <xf numFmtId="167" fontId="18" fillId="0" borderId="1" xfId="1" applyNumberFormat="1" applyFont="1" applyBorder="1" applyAlignment="1">
      <alignment vertical="center"/>
    </xf>
    <xf numFmtId="0" fontId="20" fillId="6" borderId="1" xfId="3" applyFont="1" applyFill="1" applyBorder="1" applyAlignment="1">
      <alignment horizontal="center" vertical="center" wrapText="1"/>
    </xf>
    <xf numFmtId="0" fontId="20" fillId="6" borderId="0" xfId="3" applyFont="1" applyFill="1" applyBorder="1" applyAlignment="1">
      <alignment horizontal="center" vertical="center" wrapText="1"/>
    </xf>
    <xf numFmtId="0" fontId="21" fillId="4" borderId="6" xfId="8" applyFont="1" applyFill="1" applyBorder="1" applyAlignment="1">
      <alignment horizontal="centerContinuous"/>
    </xf>
    <xf numFmtId="169" fontId="18" fillId="15" borderId="0" xfId="0" applyNumberFormat="1" applyFont="1" applyFill="1" applyAlignment="1">
      <alignment vertical="center"/>
    </xf>
    <xf numFmtId="1" fontId="18" fillId="15" borderId="0" xfId="0" applyNumberFormat="1" applyFont="1" applyFill="1" applyAlignment="1">
      <alignment vertical="center"/>
    </xf>
    <xf numFmtId="0" fontId="22" fillId="4" borderId="0" xfId="0" applyFont="1" applyFill="1" applyAlignment="1">
      <alignment vertical="center"/>
    </xf>
    <xf numFmtId="0" fontId="21" fillId="4" borderId="0" xfId="8" applyFont="1" applyFill="1" applyBorder="1" applyAlignment="1">
      <alignment horizontal="centerContinuous"/>
    </xf>
    <xf numFmtId="167" fontId="18" fillId="4" borderId="3" xfId="1" applyNumberFormat="1" applyFont="1" applyFill="1" applyBorder="1" applyAlignment="1">
      <alignment vertical="center"/>
    </xf>
    <xf numFmtId="169" fontId="23" fillId="16" borderId="16" xfId="1" applyNumberFormat="1" applyFont="1" applyFill="1" applyBorder="1"/>
    <xf numFmtId="169" fontId="18" fillId="4" borderId="17" xfId="1" applyNumberFormat="1" applyFont="1" applyFill="1" applyBorder="1" applyAlignment="1">
      <alignment vertical="center"/>
    </xf>
    <xf numFmtId="174" fontId="13" fillId="4" borderId="6" xfId="8" applyNumberFormat="1" applyFont="1" applyFill="1" applyBorder="1" applyAlignment="1">
      <alignment horizontal="center"/>
    </xf>
    <xf numFmtId="9" fontId="18" fillId="15" borderId="0" xfId="5" applyFont="1" applyFill="1" applyBorder="1" applyAlignment="1">
      <alignment horizontal="center"/>
    </xf>
  </cellXfs>
  <cellStyles count="9">
    <cellStyle name="40% - Accent4" xfId="6" builtinId="43"/>
    <cellStyle name="Accent1" xfId="3" builtinId="29"/>
    <cellStyle name="Comma" xfId="1" builtinId="3"/>
    <cellStyle name="Comma 2" xfId="7" xr:uid="{B609E123-AF6A-4306-B4E6-A8F2EB56E85B}"/>
    <cellStyle name="Date" xfId="4" xr:uid="{33C84FB1-23F4-4FE1-B8D7-5E616974B450}"/>
    <cellStyle name="Heading 1" xfId="8" builtinId="16"/>
    <cellStyle name="Hyperlink" xfId="2" builtinId="8"/>
    <cellStyle name="Normal" xfId="0" builtinId="0"/>
    <cellStyle name="Percent" xfId="5" builtinId="5"/>
  </cellStyles>
  <dxfs count="0"/>
  <tableStyles count="0" defaultTableStyle="TableStyleMedium2" defaultPivotStyle="PivotStyleLight16"/>
  <colors>
    <mruColors>
      <color rgb="FF00B050"/>
      <color rgb="FF4D4D4D"/>
      <color rgb="FF333333"/>
      <color rgb="FFA9D6A3"/>
      <color rgb="FF89A9BB"/>
      <color rgb="FFB7C6B2"/>
      <color rgb="FF71A0B7"/>
      <color rgb="FF1F88C3"/>
      <color rgb="FF54AD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'[3] Manual vs. Purchase vs. Lease'!$A$113</c:f>
          <c:strCache>
            <c:ptCount val="1"/>
            <c:pt idx="0">
              <c:v>Cost of Automated QC picking vs. Manual picking (cumulative, in GBP)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spc="0" baseline="0">
              <a:solidFill>
                <a:schemeClr val="accent1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136529096932429"/>
          <c:y val="8.9567830087978861E-2"/>
          <c:w val="0.82299137068298123"/>
          <c:h val="0.762854374893899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'QuantiSort or QualiBot - ROI'!$D$8</c:f>
              <c:strCache>
                <c:ptCount val="1"/>
                <c:pt idx="0">
                  <c:v>Manual picking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noFill/>
            </a:ln>
            <a:effectLst/>
          </c:spPr>
          <c:invertIfNegative val="0"/>
          <c:cat>
            <c:strRef>
              <c:f>'QuantiSort or QualiBot - ROI'!$A$25:$A$34</c:f>
              <c:strCache>
                <c:ptCount val="10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  <c:pt idx="6">
                  <c:v>Year 7</c:v>
                </c:pt>
                <c:pt idx="7">
                  <c:v>Year 8</c:v>
                </c:pt>
                <c:pt idx="8">
                  <c:v>Year 9</c:v>
                </c:pt>
                <c:pt idx="9">
                  <c:v>Year 10</c:v>
                </c:pt>
              </c:strCache>
            </c:strRef>
          </c:cat>
          <c:val>
            <c:numRef>
              <c:f>'QuantiSort or QualiBot - ROI'!$E$25:$E$34</c:f>
              <c:numCache>
                <c:formatCode>_-[$£-809]* #,##0_-;\-[$£-809]* #,##0_-;_-[$£-809]* "-"??_-;_-@_-</c:formatCode>
                <c:ptCount val="10"/>
                <c:pt idx="0">
                  <c:v>108150</c:v>
                </c:pt>
                <c:pt idx="1">
                  <c:v>220626</c:v>
                </c:pt>
                <c:pt idx="2">
                  <c:v>337601.04000000004</c:v>
                </c:pt>
                <c:pt idx="3">
                  <c:v>459255.08160000003</c:v>
                </c:pt>
                <c:pt idx="4">
                  <c:v>585775.28486400004</c:v>
                </c:pt>
                <c:pt idx="5">
                  <c:v>717356.29625856003</c:v>
                </c:pt>
                <c:pt idx="6">
                  <c:v>854200.54810890253</c:v>
                </c:pt>
                <c:pt idx="7">
                  <c:v>996518.57003325864</c:v>
                </c:pt>
                <c:pt idx="8">
                  <c:v>1144529.312834589</c:v>
                </c:pt>
                <c:pt idx="9">
                  <c:v>1298460.4853479727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E8-4041-8AC6-347E2B57CCC4}"/>
            </c:ext>
          </c:extLst>
        </c:ser>
        <c:ser>
          <c:idx val="1"/>
          <c:order val="1"/>
          <c:tx>
            <c:strRef>
              <c:f>'QuantiSort or QualiBot - ROI'!$L$8</c:f>
              <c:strCache>
                <c:ptCount val="1"/>
                <c:pt idx="0">
                  <c:v> Buy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'QuantiSort or QualiBot - ROI'!$A$25:$A$34</c:f>
              <c:strCache>
                <c:ptCount val="10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  <c:pt idx="6">
                  <c:v>Year 7</c:v>
                </c:pt>
                <c:pt idx="7">
                  <c:v>Year 8</c:v>
                </c:pt>
                <c:pt idx="8">
                  <c:v>Year 9</c:v>
                </c:pt>
                <c:pt idx="9">
                  <c:v>Year 10</c:v>
                </c:pt>
              </c:strCache>
            </c:strRef>
          </c:cat>
          <c:val>
            <c:numRef>
              <c:f>'QuantiSort or QualiBot - ROI'!$M$25:$M$34</c:f>
              <c:numCache>
                <c:formatCode>_-[$£-809]* #,##0_-;\-[$£-809]* #,##0_-;_-[$£-809]* "-"??_-;_-@_-</c:formatCode>
                <c:ptCount val="10"/>
                <c:pt idx="0">
                  <c:v>217000</c:v>
                </c:pt>
                <c:pt idx="1">
                  <c:v>232000</c:v>
                </c:pt>
                <c:pt idx="2">
                  <c:v>247000</c:v>
                </c:pt>
                <c:pt idx="3">
                  <c:v>262000</c:v>
                </c:pt>
                <c:pt idx="4">
                  <c:v>277000</c:v>
                </c:pt>
                <c:pt idx="5">
                  <c:v>292000</c:v>
                </c:pt>
                <c:pt idx="6">
                  <c:v>307000</c:v>
                </c:pt>
                <c:pt idx="7">
                  <c:v>322000</c:v>
                </c:pt>
                <c:pt idx="8">
                  <c:v>337000</c:v>
                </c:pt>
                <c:pt idx="9">
                  <c:v>352000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E8-4041-8AC6-347E2B57CCC4}"/>
            </c:ext>
          </c:extLst>
        </c:ser>
        <c:ser>
          <c:idx val="2"/>
          <c:order val="2"/>
          <c:tx>
            <c:strRef>
              <c:f>'QuantiSort or QualiBot - ROI'!$I$8</c:f>
              <c:strCache>
                <c:ptCount val="1"/>
                <c:pt idx="0">
                  <c:v> Lease</c:v>
                </c:pt>
              </c:strCache>
            </c:strRef>
          </c:tx>
          <c:spPr>
            <a:pattFill prst="wdUpDiag">
              <a:fgClr>
                <a:srgbClr val="00B05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'QuantiSort or QualiBot - ROI'!$A$25:$A$34</c:f>
              <c:strCache>
                <c:ptCount val="10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  <c:pt idx="6">
                  <c:v>Year 7</c:v>
                </c:pt>
                <c:pt idx="7">
                  <c:v>Year 8</c:v>
                </c:pt>
                <c:pt idx="8">
                  <c:v>Year 9</c:v>
                </c:pt>
                <c:pt idx="9">
                  <c:v>Year 10</c:v>
                </c:pt>
              </c:strCache>
            </c:strRef>
          </c:cat>
          <c:val>
            <c:numRef>
              <c:f>'QuantiSort or QualiBot - ROI'!$J$25:$J$34</c:f>
              <c:numCache>
                <c:formatCode>_-[$£-809]* #,##0_-;\-[$£-809]* #,##0_-;_-[$£-809]* "-"??_-;_-@_-</c:formatCode>
                <c:ptCount val="10"/>
                <c:pt idx="0">
                  <c:v>55000</c:v>
                </c:pt>
                <c:pt idx="1">
                  <c:v>110000</c:v>
                </c:pt>
                <c:pt idx="2">
                  <c:v>155000</c:v>
                </c:pt>
                <c:pt idx="3">
                  <c:v>200000</c:v>
                </c:pt>
                <c:pt idx="4">
                  <c:v>245000</c:v>
                </c:pt>
                <c:pt idx="5">
                  <c:v>290000</c:v>
                </c:pt>
                <c:pt idx="6">
                  <c:v>335000</c:v>
                </c:pt>
                <c:pt idx="7">
                  <c:v>380000</c:v>
                </c:pt>
                <c:pt idx="8">
                  <c:v>425000</c:v>
                </c:pt>
                <c:pt idx="9">
                  <c:v>470000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E8-4041-8AC6-347E2B57C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1393471"/>
        <c:axId val="461413151"/>
      </c:barChart>
      <c:catAx>
        <c:axId val="4613934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accent1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en-US"/>
          </a:p>
        </c:txPr>
        <c:crossAx val="461413151"/>
        <c:crosses val="autoZero"/>
        <c:auto val="1"/>
        <c:lblAlgn val="ctr"/>
        <c:lblOffset val="100"/>
        <c:noMultiLvlLbl val="0"/>
      </c:catAx>
      <c:valAx>
        <c:axId val="46141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£-809]* #,##0_-;\-[$£-809]* #,##0_-;_-[$£-809]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accent1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en-US"/>
          </a:p>
        </c:txPr>
        <c:crossAx val="4613934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36692535735191"/>
          <c:y val="0.94175435875617997"/>
          <c:w val="0.48085875076405926"/>
          <c:h val="4.5465598593025902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accent1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 sz="1050" b="1">
          <a:solidFill>
            <a:schemeClr val="accent1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'[3] Manual vs. Purchase vs. Lease'!$A$113</c:f>
          <c:strCache>
            <c:ptCount val="1"/>
            <c:pt idx="0">
              <c:v>Cost of Automated QC picking vs. Manual picking (cumulative, in GBP)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200" b="1" i="0" u="none" strike="noStrike" kern="1200" spc="0" baseline="0">
              <a:solidFill>
                <a:schemeClr val="accent1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136529096932429"/>
          <c:y val="8.9567830087978861E-2"/>
          <c:w val="0.82299137068298123"/>
          <c:h val="0.762854374893899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'Material recovery - ROI'!$D$8</c:f>
              <c:strCache>
                <c:ptCount val="1"/>
                <c:pt idx="0">
                  <c:v>Not sorting PET and HDPE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noFill/>
            </a:ln>
            <a:effectLst/>
          </c:spPr>
          <c:invertIfNegative val="0"/>
          <c:cat>
            <c:strRef>
              <c:f>'Material recovery - ROI'!$A$26:$A$35</c:f>
              <c:strCache>
                <c:ptCount val="10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  <c:pt idx="6">
                  <c:v>Year 7</c:v>
                </c:pt>
                <c:pt idx="7">
                  <c:v>Year 8</c:v>
                </c:pt>
                <c:pt idx="8">
                  <c:v>Year 9</c:v>
                </c:pt>
                <c:pt idx="9">
                  <c:v>Year 10</c:v>
                </c:pt>
              </c:strCache>
            </c:strRef>
          </c:cat>
          <c:val>
            <c:numRef>
              <c:f>'Material recovery - ROI'!$G$26:$G$35</c:f>
              <c:numCache>
                <c:formatCode>_-[$£-809]* #,##0_-;\-[$£-809]* #,##0_-;_-[$£-809]* "-"??_-;_-@_-</c:formatCode>
                <c:ptCount val="10"/>
                <c:pt idx="0">
                  <c:v>372956.62126588065</c:v>
                </c:pt>
                <c:pt idx="1">
                  <c:v>745913.24253176129</c:v>
                </c:pt>
                <c:pt idx="2">
                  <c:v>1118869.8637976418</c:v>
                </c:pt>
                <c:pt idx="3">
                  <c:v>1491826.4850635226</c:v>
                </c:pt>
                <c:pt idx="4">
                  <c:v>1864783.1063294034</c:v>
                </c:pt>
                <c:pt idx="5">
                  <c:v>2237739.7275952841</c:v>
                </c:pt>
                <c:pt idx="6">
                  <c:v>2610696.3488611649</c:v>
                </c:pt>
                <c:pt idx="7">
                  <c:v>2983652.9701270456</c:v>
                </c:pt>
                <c:pt idx="8">
                  <c:v>3356609.5913929264</c:v>
                </c:pt>
                <c:pt idx="9">
                  <c:v>3729566.2126588072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5-4E54-8264-F811D5652829}"/>
            </c:ext>
          </c:extLst>
        </c:ser>
        <c:ser>
          <c:idx val="1"/>
          <c:order val="1"/>
          <c:tx>
            <c:strRef>
              <c:f>'Material recovery - ROI'!$U$8</c:f>
              <c:strCache>
                <c:ptCount val="1"/>
                <c:pt idx="0">
                  <c:v> Buy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'Material recovery - ROI'!$A$26:$A$35</c:f>
              <c:strCache>
                <c:ptCount val="10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  <c:pt idx="6">
                  <c:v>Year 7</c:v>
                </c:pt>
                <c:pt idx="7">
                  <c:v>Year 8</c:v>
                </c:pt>
                <c:pt idx="8">
                  <c:v>Year 9</c:v>
                </c:pt>
                <c:pt idx="9">
                  <c:v>Year 10</c:v>
                </c:pt>
              </c:strCache>
            </c:strRef>
          </c:cat>
          <c:val>
            <c:numRef>
              <c:f>'Material recovery - ROI'!$X$26:$X$35</c:f>
              <c:numCache>
                <c:formatCode>_-[$£-809]* #,##0_-;\-[$£-809]* #,##0_-;_-[$£-809]* "-"??_-;_-@_-</c:formatCode>
                <c:ptCount val="10"/>
                <c:pt idx="0">
                  <c:v>734000</c:v>
                </c:pt>
                <c:pt idx="1">
                  <c:v>764000</c:v>
                </c:pt>
                <c:pt idx="2">
                  <c:v>794000</c:v>
                </c:pt>
                <c:pt idx="3">
                  <c:v>824000</c:v>
                </c:pt>
                <c:pt idx="4">
                  <c:v>854000</c:v>
                </c:pt>
                <c:pt idx="5">
                  <c:v>884000</c:v>
                </c:pt>
                <c:pt idx="6">
                  <c:v>914000</c:v>
                </c:pt>
                <c:pt idx="7">
                  <c:v>944000</c:v>
                </c:pt>
                <c:pt idx="8">
                  <c:v>974000</c:v>
                </c:pt>
                <c:pt idx="9">
                  <c:v>1004000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35-4E54-8264-F811D5652829}"/>
            </c:ext>
          </c:extLst>
        </c:ser>
        <c:ser>
          <c:idx val="2"/>
          <c:order val="2"/>
          <c:tx>
            <c:strRef>
              <c:f>'Material recovery - ROI'!$K$8</c:f>
              <c:strCache>
                <c:ptCount val="1"/>
                <c:pt idx="0">
                  <c:v> Lease</c:v>
                </c:pt>
              </c:strCache>
            </c:strRef>
          </c:tx>
          <c:spPr>
            <a:pattFill prst="wdUpDiag">
              <a:fgClr>
                <a:srgbClr val="00B05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'Material recovery - ROI'!$A$26:$A$35</c:f>
              <c:strCache>
                <c:ptCount val="10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  <c:pt idx="6">
                  <c:v>Year 7</c:v>
                </c:pt>
                <c:pt idx="7">
                  <c:v>Year 8</c:v>
                </c:pt>
                <c:pt idx="8">
                  <c:v>Year 9</c:v>
                </c:pt>
                <c:pt idx="9">
                  <c:v>Year 10</c:v>
                </c:pt>
              </c:strCache>
            </c:strRef>
          </c:cat>
          <c:val>
            <c:numRef>
              <c:f>'Material recovery - ROI'!$N$26:$N$35</c:f>
              <c:numCache>
                <c:formatCode>_-[$£-809]* #,##0_-;\-[$£-809]* #,##0_-;_-[$£-809]* "-"??_-;_-@_-</c:formatCode>
                <c:ptCount val="10"/>
                <c:pt idx="0">
                  <c:v>464000</c:v>
                </c:pt>
                <c:pt idx="1">
                  <c:v>628000</c:v>
                </c:pt>
                <c:pt idx="2">
                  <c:v>766400</c:v>
                </c:pt>
                <c:pt idx="3">
                  <c:v>904800</c:v>
                </c:pt>
                <c:pt idx="4">
                  <c:v>1043200</c:v>
                </c:pt>
                <c:pt idx="5">
                  <c:v>1181600</c:v>
                </c:pt>
                <c:pt idx="6">
                  <c:v>1320000</c:v>
                </c:pt>
                <c:pt idx="7">
                  <c:v>1458400</c:v>
                </c:pt>
                <c:pt idx="8">
                  <c:v>1596800</c:v>
                </c:pt>
                <c:pt idx="9">
                  <c:v>1735200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35-4E54-8264-F811D5652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1393471"/>
        <c:axId val="461413151"/>
      </c:barChart>
      <c:catAx>
        <c:axId val="4613934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accent1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en-US"/>
          </a:p>
        </c:txPr>
        <c:crossAx val="461413151"/>
        <c:crosses val="autoZero"/>
        <c:auto val="1"/>
        <c:lblAlgn val="ctr"/>
        <c:lblOffset val="100"/>
        <c:noMultiLvlLbl val="0"/>
      </c:catAx>
      <c:valAx>
        <c:axId val="46141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£-809]* #,##0_-;\-[$£-809]* #,##0_-;_-[$£-809]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accent1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en-US"/>
          </a:p>
        </c:txPr>
        <c:crossAx val="4613934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36692535735191"/>
          <c:y val="0.94175435875617997"/>
          <c:w val="0.48085875076405926"/>
          <c:h val="4.5465598593025902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accent1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 b="1">
          <a:solidFill>
            <a:schemeClr val="accent1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62538</xdr:colOff>
      <xdr:row>49</xdr:row>
      <xdr:rowOff>121869</xdr:rowOff>
    </xdr:from>
    <xdr:to>
      <xdr:col>15</xdr:col>
      <xdr:colOff>1026914</xdr:colOff>
      <xdr:row>87</xdr:row>
      <xdr:rowOff>87843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7085A6A-A0FC-4DD5-9B2A-AD0353A780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62538</xdr:colOff>
      <xdr:row>50</xdr:row>
      <xdr:rowOff>121869</xdr:rowOff>
    </xdr:from>
    <xdr:to>
      <xdr:col>23</xdr:col>
      <xdr:colOff>843370</xdr:colOff>
      <xdr:row>88</xdr:row>
      <xdr:rowOff>87843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79D8C3-CA80-41FC-99B5-AB4836D4D1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ites\RecycleyeTeam\Shared%20Documents\1.%20Recycleye\07.%20Project%20Management\PXXX_Grundon_XXX_XXX_XXX\01.%20SoW%20&amp;%20MSA\Total%20saving%20from%20automated%20picking%20estimate%20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astien.wollbrett\Desktop\Copie%20de%20Total%20saving%20from%20automated%20picking%20estimate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ecycleyeltd.sharepoint.com/sites/RecycleyeTeam/Shared%20Documents/1.%20Recycleye/07.%20Project%20Management/5.%20Upcoming%20Projects/NEWS/00.%20Commercial/NEWS_Manual%20QC%20cost%20comparator.xlsx" TargetMode="External"/><Relationship Id="rId1" Type="http://schemas.openxmlformats.org/officeDocument/2006/relationships/externalLinkPath" Target="NEWS_Manual%20QC%20cost%20comparat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Pipeline archive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 Estimation"/>
      <sheetName val="données bertrand"/>
      <sheetName val="Data Entrepot"/>
      <sheetName val="modele BWO"/>
      <sheetName val="jour férié"/>
      <sheetName val="Pipeline archiv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Manual vs. Purchase vs. Lease"/>
      <sheetName val="Purchase vs. Lease only"/>
    </sheetNames>
    <sheetDataSet>
      <sheetData sheetId="0">
        <row r="113">
          <cell r="A113" t="str">
            <v>Cost of Automated QC picking vs. Manual picking (cumulative, in GBP)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letsrecycle.com/prices/plastics/plastic-bottles/plastic-bottles-2024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christine.leveque@suez.com" TargetMode="External"/><Relationship Id="rId13" Type="http://schemas.openxmlformats.org/officeDocument/2006/relationships/hyperlink" Target="mailto:Matt.Gear@amey.co.uk" TargetMode="External"/><Relationship Id="rId18" Type="http://schemas.openxmlformats.org/officeDocument/2006/relationships/hyperlink" Target="mailto:mcanton@hammerson.fr" TargetMode="External"/><Relationship Id="rId3" Type="http://schemas.openxmlformats.org/officeDocument/2006/relationships/hyperlink" Target="mailto:robert.a.jones@dhl.com" TargetMode="External"/><Relationship Id="rId21" Type="http://schemas.openxmlformats.org/officeDocument/2006/relationships/hyperlink" Target="https://www.imperial.ac.uk/people/p.lickiss" TargetMode="External"/><Relationship Id="rId7" Type="http://schemas.openxmlformats.org/officeDocument/2006/relationships/hyperlink" Target="mailto:lfoster@ccep.com" TargetMode="External"/><Relationship Id="rId12" Type="http://schemas.openxmlformats.org/officeDocument/2006/relationships/hyperlink" Target="mailto:e.vanreenen@bywaters.co.uk" TargetMode="External"/><Relationship Id="rId17" Type="http://schemas.openxmlformats.org/officeDocument/2006/relationships/hyperlink" Target="mailto:a.egbokhan@bywaters.co.uk" TargetMode="External"/><Relationship Id="rId2" Type="http://schemas.openxmlformats.org/officeDocument/2006/relationships/hyperlink" Target="mailto:Jack.Jefferis@dhl.com" TargetMode="External"/><Relationship Id="rId16" Type="http://schemas.openxmlformats.org/officeDocument/2006/relationships/hyperlink" Target="mailto:simon.richard@suez.com" TargetMode="External"/><Relationship Id="rId20" Type="http://schemas.openxmlformats.org/officeDocument/2006/relationships/hyperlink" Target="mailto:Felicity.Aylward@sainsburys.co.uk" TargetMode="External"/><Relationship Id="rId1" Type="http://schemas.openxmlformats.org/officeDocument/2006/relationships/hyperlink" Target="mailto:philippe_lacamp@cathaypacific.com" TargetMode="External"/><Relationship Id="rId6" Type="http://schemas.openxmlformats.org/officeDocument/2006/relationships/hyperlink" Target="mailto:nbrown@ccep.com" TargetMode="External"/><Relationship Id="rId11" Type="http://schemas.openxmlformats.org/officeDocument/2006/relationships/hyperlink" Target="mailto:m.harbard@bywaters.co.uk" TargetMode="External"/><Relationship Id="rId24" Type="http://schemas.openxmlformats.org/officeDocument/2006/relationships/printerSettings" Target="../printerSettings/printerSettings4.bin"/><Relationship Id="rId5" Type="http://schemas.openxmlformats.org/officeDocument/2006/relationships/hyperlink" Target="mailto:pryan@ccep.com" TargetMode="External"/><Relationship Id="rId15" Type="http://schemas.openxmlformats.org/officeDocument/2006/relationships/hyperlink" Target="mailto:adam.read@suez.com" TargetMode="External"/><Relationship Id="rId23" Type="http://schemas.openxmlformats.org/officeDocument/2006/relationships/hyperlink" Target="mailto:gui.brammer@boomera.com.br" TargetMode="External"/><Relationship Id="rId10" Type="http://schemas.openxmlformats.org/officeDocument/2006/relationships/hyperlink" Target="mailto:michael.topham@biffa.co.uk" TargetMode="External"/><Relationship Id="rId19" Type="http://schemas.openxmlformats.org/officeDocument/2006/relationships/hyperlink" Target="mailto:alexh@highlandspringgroup.com" TargetMode="External"/><Relationship Id="rId4" Type="http://schemas.openxmlformats.org/officeDocument/2006/relationships/hyperlink" Target="mailto:Tony.Gillman@dhl.com" TargetMode="External"/><Relationship Id="rId9" Type="http://schemas.openxmlformats.org/officeDocument/2006/relationships/hyperlink" Target="mailto:richard.kirkman@veolia.com" TargetMode="External"/><Relationship Id="rId14" Type="http://schemas.openxmlformats.org/officeDocument/2006/relationships/hyperlink" Target="mailto:paul.collins2@pepsico.com" TargetMode="External"/><Relationship Id="rId22" Type="http://schemas.openxmlformats.org/officeDocument/2006/relationships/hyperlink" Target="https://urwlab.com/the-mix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A75A0-DD7D-47CA-8C4C-5E9E79522DE9}">
  <dimension ref="A1:AD121"/>
  <sheetViews>
    <sheetView tabSelected="1" topLeftCell="B1" zoomScale="65" zoomScaleNormal="64" workbookViewId="0">
      <selection activeCell="I14" sqref="I14"/>
    </sheetView>
  </sheetViews>
  <sheetFormatPr defaultColWidth="8.7109375" defaultRowHeight="15" outlineLevelRow="1"/>
  <cols>
    <col min="1" max="1" width="4.85546875" customWidth="1"/>
    <col min="2" max="2" width="63.7109375" customWidth="1"/>
    <col min="3" max="3" width="1.7109375" bestFit="1" customWidth="1"/>
    <col min="4" max="5" width="15.7109375" customWidth="1"/>
    <col min="6" max="6" width="17.5703125" customWidth="1"/>
    <col min="7" max="7" width="43.140625" customWidth="1"/>
    <col min="8" max="8" width="1.28515625" bestFit="1" customWidth="1"/>
    <col min="9" max="10" width="15.7109375" customWidth="1"/>
    <col min="11" max="11" width="1.7109375" customWidth="1"/>
    <col min="12" max="13" width="15.7109375" customWidth="1"/>
    <col min="14" max="14" width="1.7109375" customWidth="1"/>
    <col min="15" max="16" width="15.7109375" customWidth="1"/>
    <col min="17" max="18" width="8.7109375" customWidth="1"/>
    <col min="19" max="19" width="14.28515625" customWidth="1"/>
    <col min="20" max="24" width="8.7109375" customWidth="1"/>
    <col min="27" max="28" width="15.28515625" bestFit="1" customWidth="1"/>
    <col min="29" max="29" width="12.28515625" bestFit="1" customWidth="1"/>
  </cols>
  <sheetData>
    <row r="1" spans="1:30" ht="46.5">
      <c r="A1" s="23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>
      <c r="A3" s="1"/>
      <c r="B3" s="1"/>
      <c r="C3" s="1"/>
      <c r="D3" s="1"/>
      <c r="E3" s="1"/>
      <c r="F3" s="1"/>
      <c r="G3" s="1"/>
      <c r="H3" s="1"/>
      <c r="I3" s="1"/>
      <c r="J3" s="37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>
      <c r="A4" s="1"/>
      <c r="B4" s="47" t="s">
        <v>1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>
      <c r="A5" s="1"/>
      <c r="B5" s="2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>
      <c r="A6" s="1"/>
      <c r="C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>
      <c r="A8" s="1"/>
      <c r="B8" s="1"/>
      <c r="C8" s="1" t="s">
        <v>2</v>
      </c>
      <c r="D8" s="19" t="s">
        <v>3</v>
      </c>
      <c r="E8" s="19"/>
      <c r="F8" s="38"/>
      <c r="G8" s="38"/>
      <c r="H8" s="1" t="s">
        <v>2</v>
      </c>
      <c r="I8" s="19" t="s">
        <v>4</v>
      </c>
      <c r="J8" s="19"/>
      <c r="K8" s="1" t="s">
        <v>2</v>
      </c>
      <c r="L8" s="59" t="s">
        <v>5</v>
      </c>
      <c r="M8" s="59"/>
      <c r="N8" s="1" t="s">
        <v>2</v>
      </c>
      <c r="O8" s="19" t="s">
        <v>6</v>
      </c>
      <c r="P8" s="19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15.75" thickBot="1">
      <c r="A9" s="1"/>
      <c r="B9" s="27" t="s">
        <v>7</v>
      </c>
      <c r="C9" s="1"/>
      <c r="D9" s="34"/>
      <c r="E9" s="34"/>
      <c r="F9" s="1"/>
      <c r="G9" s="27" t="s">
        <v>8</v>
      </c>
      <c r="H9" s="1"/>
      <c r="I9" s="27"/>
      <c r="J9" s="27"/>
      <c r="K9" s="1"/>
      <c r="L9" s="27"/>
      <c r="M9" s="27"/>
      <c r="N9" s="1"/>
      <c r="O9" s="27"/>
      <c r="P9" s="27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15.75" thickTop="1">
      <c r="A10" s="1"/>
      <c r="B10" s="21" t="s">
        <v>9</v>
      </c>
      <c r="C10" s="1"/>
      <c r="D10" s="52">
        <v>1</v>
      </c>
      <c r="E10" s="43"/>
      <c r="F10" s="1"/>
      <c r="G10" s="21" t="s">
        <v>10</v>
      </c>
      <c r="H10" s="1"/>
      <c r="I10" s="53">
        <v>1</v>
      </c>
      <c r="J10" s="53"/>
      <c r="K10" s="54"/>
      <c r="L10" s="55">
        <f>O10</f>
        <v>1</v>
      </c>
      <c r="M10" s="55"/>
      <c r="N10" s="54"/>
      <c r="O10" s="55">
        <f>I10</f>
        <v>1</v>
      </c>
      <c r="P10" s="55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>
      <c r="A11" s="1"/>
      <c r="B11" s="21" t="s">
        <v>11</v>
      </c>
      <c r="C11" s="1"/>
      <c r="D11" s="56">
        <v>3</v>
      </c>
      <c r="E11" s="44"/>
      <c r="F11" s="1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5.75" thickBot="1">
      <c r="A12" s="1"/>
      <c r="B12" s="24"/>
      <c r="C12" s="1"/>
      <c r="D12" s="1"/>
      <c r="E12" s="1"/>
      <c r="F12" s="1"/>
      <c r="G12" s="34" t="s">
        <v>12</v>
      </c>
      <c r="H12" s="1"/>
      <c r="I12" s="126"/>
      <c r="J12" s="34"/>
      <c r="K12" s="1"/>
      <c r="L12" s="34"/>
      <c r="M12" s="34"/>
      <c r="N12" s="1"/>
      <c r="O12" s="34"/>
      <c r="P12" s="34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6.5" thickTop="1" thickBot="1">
      <c r="A13" s="1"/>
      <c r="B13" s="27" t="s">
        <v>13</v>
      </c>
      <c r="C13" s="1"/>
      <c r="D13" s="34"/>
      <c r="E13" s="34"/>
      <c r="F13" s="1"/>
      <c r="G13" s="21" t="s">
        <v>14</v>
      </c>
      <c r="H13" s="1"/>
      <c r="I13" s="50">
        <v>55000</v>
      </c>
      <c r="J13" s="50"/>
      <c r="K13" s="54"/>
      <c r="L13" s="83"/>
      <c r="M13" s="83"/>
      <c r="N13" s="54"/>
      <c r="O13" s="50">
        <f>I13</f>
        <v>55000</v>
      </c>
      <c r="P13" s="50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5.75" thickTop="1">
      <c r="A14" s="1"/>
      <c r="B14" s="21" t="s">
        <v>15</v>
      </c>
      <c r="C14" s="1"/>
      <c r="D14" s="50">
        <v>35000</v>
      </c>
      <c r="E14" s="45"/>
      <c r="F14" s="1"/>
      <c r="G14" s="21" t="s">
        <v>16</v>
      </c>
      <c r="H14" s="1"/>
      <c r="I14" s="50">
        <v>45000</v>
      </c>
      <c r="J14" s="50"/>
      <c r="K14" s="54"/>
      <c r="L14" s="83"/>
      <c r="M14" s="83"/>
      <c r="N14" s="54"/>
      <c r="O14" s="83"/>
      <c r="P14" s="83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>
      <c r="A15" s="1"/>
      <c r="B15" s="21" t="s">
        <v>17</v>
      </c>
      <c r="C15" s="1"/>
      <c r="D15" s="50">
        <v>0</v>
      </c>
      <c r="E15" s="46"/>
      <c r="F15" s="1"/>
      <c r="G15" s="21" t="s">
        <v>18</v>
      </c>
      <c r="H15" s="1"/>
      <c r="I15" s="83"/>
      <c r="J15" s="83"/>
      <c r="K15" s="54"/>
      <c r="L15" s="50">
        <v>202000</v>
      </c>
      <c r="M15" s="50"/>
      <c r="N15" s="54"/>
      <c r="O15" s="50">
        <f ca="1">(XNPV(10%,I28:I34,G28:G34)-XNPV(10%,O28:O34,G28:G34))*1.1</f>
        <v>176675.86767997843</v>
      </c>
      <c r="P15" s="50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>
      <c r="A16" s="1"/>
      <c r="B16" s="21" t="s">
        <v>19</v>
      </c>
      <c r="C16" s="1"/>
      <c r="D16" s="51">
        <v>0.03</v>
      </c>
      <c r="E16" s="46"/>
      <c r="F16" s="1"/>
      <c r="G16" s="21" t="s">
        <v>20</v>
      </c>
      <c r="H16" s="1"/>
      <c r="I16" s="83"/>
      <c r="J16" s="83"/>
      <c r="K16" s="54"/>
      <c r="L16" s="50">
        <v>15000</v>
      </c>
      <c r="M16" s="50"/>
      <c r="N16" s="54"/>
      <c r="O16" s="50">
        <f>L16</f>
        <v>15000</v>
      </c>
      <c r="P16" s="50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>
      <c r="A17" s="1"/>
      <c r="B17" s="21" t="s">
        <v>21</v>
      </c>
      <c r="C17" s="1"/>
      <c r="D17" s="51">
        <v>0.04</v>
      </c>
      <c r="E17" s="46"/>
      <c r="F17" s="1"/>
      <c r="G17" s="21" t="s">
        <v>22</v>
      </c>
      <c r="H17" s="1"/>
      <c r="I17" s="50">
        <v>0</v>
      </c>
      <c r="J17" s="50"/>
      <c r="K17" s="54"/>
      <c r="L17" s="50">
        <f>O17</f>
        <v>0</v>
      </c>
      <c r="M17" s="50"/>
      <c r="N17" s="54"/>
      <c r="O17" s="50">
        <f>I17</f>
        <v>0</v>
      </c>
      <c r="P17" s="50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5.75" thickBot="1">
      <c r="A19" s="1"/>
      <c r="B19" s="1"/>
      <c r="C19" s="1"/>
      <c r="D19" s="1"/>
      <c r="E19" s="1"/>
      <c r="F19" s="1"/>
      <c r="G19" s="34" t="s">
        <v>23</v>
      </c>
      <c r="H19" s="1"/>
      <c r="I19" s="34"/>
      <c r="J19" s="34"/>
      <c r="K19" s="1"/>
      <c r="L19" s="62"/>
      <c r="M19" s="62"/>
      <c r="N19" s="1"/>
      <c r="O19" s="34"/>
      <c r="P19" s="34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6.5" thickTop="1" thickBot="1">
      <c r="A20" s="1"/>
      <c r="B20" s="1"/>
      <c r="C20" s="1"/>
      <c r="D20" s="1"/>
      <c r="E20" s="37"/>
      <c r="F20" s="1"/>
      <c r="G20" s="21" t="s">
        <v>24</v>
      </c>
      <c r="H20" s="1"/>
      <c r="I20" s="82" t="s">
        <v>25</v>
      </c>
      <c r="J20" s="82"/>
      <c r="K20" s="54"/>
      <c r="L20" s="84" t="s">
        <v>26</v>
      </c>
      <c r="M20" s="84"/>
      <c r="N20" s="54"/>
      <c r="O20" s="82" t="s">
        <v>25</v>
      </c>
      <c r="P20" s="82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6.5" thickTop="1" thickBot="1">
      <c r="A21" s="1"/>
      <c r="B21" s="1"/>
      <c r="C21" s="1"/>
      <c r="D21" s="1"/>
      <c r="E21" s="37"/>
      <c r="F21" s="1"/>
      <c r="G21" s="21" t="s">
        <v>27</v>
      </c>
      <c r="H21" s="1"/>
      <c r="I21" s="82" t="s">
        <v>28</v>
      </c>
      <c r="J21" s="82"/>
      <c r="K21" s="54"/>
      <c r="L21" s="84" t="s">
        <v>29</v>
      </c>
      <c r="M21" s="84"/>
      <c r="N21" s="54"/>
      <c r="O21" s="82" t="s">
        <v>29</v>
      </c>
      <c r="P21" s="82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5.75" thickTop="1">
      <c r="A22" s="1"/>
      <c r="B22" s="1"/>
      <c r="C22" s="1"/>
      <c r="D22" s="1"/>
      <c r="E22" s="37"/>
      <c r="F22" s="1"/>
      <c r="G22" s="1"/>
      <c r="H22" s="1"/>
      <c r="I22" s="1"/>
      <c r="J22" s="1"/>
      <c r="K22" s="1"/>
      <c r="L22" s="66"/>
      <c r="M22" s="66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5.75" thickBot="1">
      <c r="A23" s="1"/>
      <c r="B23" s="27" t="s">
        <v>30</v>
      </c>
      <c r="C23" s="1"/>
      <c r="D23" s="27"/>
      <c r="E23" s="27"/>
      <c r="F23" s="1"/>
      <c r="G23" s="27" t="s">
        <v>30</v>
      </c>
      <c r="H23" s="1"/>
      <c r="I23" s="27"/>
      <c r="J23" s="27"/>
      <c r="K23" s="1"/>
      <c r="L23" s="39"/>
      <c r="M23" s="39"/>
      <c r="N23" s="1"/>
      <c r="O23" s="27"/>
      <c r="P23" s="27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8" thickTop="1">
      <c r="A24" s="1"/>
      <c r="B24" s="41" t="s">
        <v>31</v>
      </c>
      <c r="C24" s="1"/>
      <c r="D24" s="20" t="s">
        <v>32</v>
      </c>
      <c r="E24" s="20" t="s">
        <v>33</v>
      </c>
      <c r="F24" s="1"/>
      <c r="G24" s="41" t="s">
        <v>31</v>
      </c>
      <c r="H24" s="1"/>
      <c r="I24" s="35" t="s">
        <v>32</v>
      </c>
      <c r="J24" s="20" t="s">
        <v>33</v>
      </c>
      <c r="K24" s="1"/>
      <c r="L24" s="63" t="s">
        <v>32</v>
      </c>
      <c r="M24" s="63" t="s">
        <v>33</v>
      </c>
      <c r="N24" s="1"/>
      <c r="O24" s="35" t="s">
        <v>32</v>
      </c>
      <c r="P24" s="20" t="s">
        <v>33</v>
      </c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outlineLevel="1">
      <c r="A25" s="1" t="s">
        <v>34</v>
      </c>
      <c r="B25" s="48">
        <f ca="1">TODAY()</f>
        <v>45572</v>
      </c>
      <c r="C25" s="1"/>
      <c r="D25" s="30">
        <f>$D$11*$D$14*(1+$D$16)*$D$10+$D$15*$D$10</f>
        <v>108150</v>
      </c>
      <c r="E25" s="30">
        <f>SUM(D$25:$D25)</f>
        <v>108150</v>
      </c>
      <c r="F25" s="37"/>
      <c r="G25" s="48">
        <f t="shared" ref="G25:G34" ca="1" si="0">B25</f>
        <v>45572</v>
      </c>
      <c r="H25" s="1"/>
      <c r="I25" s="30">
        <f>$I$13*$I$10+I17</f>
        <v>55000</v>
      </c>
      <c r="J25" s="30">
        <f>SUM($I$25:I25)</f>
        <v>55000</v>
      </c>
      <c r="K25" s="1"/>
      <c r="L25" s="30">
        <f>(L15)*L10+L17+$L$16*$L$10</f>
        <v>217000</v>
      </c>
      <c r="M25" s="30">
        <f>SUM($L$25:L25)</f>
        <v>217000</v>
      </c>
      <c r="N25" s="1"/>
      <c r="O25" s="30">
        <f>O17+$O$13*$O$10</f>
        <v>55000</v>
      </c>
      <c r="P25" s="30">
        <f>SUM($O$25:O25)</f>
        <v>55000</v>
      </c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outlineLevel="1">
      <c r="A26" s="1" t="s">
        <v>35</v>
      </c>
      <c r="B26" s="48">
        <f t="shared" ref="B26:B34" ca="1" si="1">EOMONTH(B25,12)</f>
        <v>45961</v>
      </c>
      <c r="C26" s="1"/>
      <c r="D26" s="30">
        <f>D25*(1+$D$17)</f>
        <v>112476</v>
      </c>
      <c r="E26" s="30">
        <f>SUM(D$25:$D26)</f>
        <v>220626</v>
      </c>
      <c r="F26" s="37"/>
      <c r="G26" s="48">
        <f t="shared" ca="1" si="0"/>
        <v>45961</v>
      </c>
      <c r="H26" s="1"/>
      <c r="I26" s="30">
        <f>$I$13*$I$10</f>
        <v>55000</v>
      </c>
      <c r="J26" s="30">
        <f>SUM($I$25:I26)</f>
        <v>110000</v>
      </c>
      <c r="K26" s="1"/>
      <c r="L26" s="64">
        <f t="shared" ref="L26:L34" si="2">$L$16*$L$10</f>
        <v>15000</v>
      </c>
      <c r="M26" s="30">
        <f>SUM($L$25:L26)</f>
        <v>232000</v>
      </c>
      <c r="N26" s="1"/>
      <c r="O26" s="30">
        <f>$O$13*$O$10</f>
        <v>55000</v>
      </c>
      <c r="P26" s="30">
        <f>SUM($O$25:O26)</f>
        <v>110000</v>
      </c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outlineLevel="1">
      <c r="A27" s="1" t="s">
        <v>36</v>
      </c>
      <c r="B27" s="48">
        <f t="shared" ca="1" si="1"/>
        <v>46326</v>
      </c>
      <c r="C27" s="29"/>
      <c r="D27" s="30">
        <f t="shared" ref="D27:D34" si="3">D26*(1+$D$17)</f>
        <v>116975.04000000001</v>
      </c>
      <c r="E27" s="30">
        <f>SUM(D$25:$D27)</f>
        <v>337601.04000000004</v>
      </c>
      <c r="F27" s="37"/>
      <c r="G27" s="48">
        <f t="shared" ca="1" si="0"/>
        <v>46326</v>
      </c>
      <c r="H27" s="1"/>
      <c r="I27" s="30">
        <f>$I$14*$I$10</f>
        <v>45000</v>
      </c>
      <c r="J27" s="30">
        <f>SUM($I$25:I27)</f>
        <v>155000</v>
      </c>
      <c r="K27" s="1"/>
      <c r="L27" s="64">
        <f t="shared" si="2"/>
        <v>15000</v>
      </c>
      <c r="M27" s="30">
        <f>SUM($L$25:L27)</f>
        <v>247000</v>
      </c>
      <c r="N27" s="1"/>
      <c r="O27" s="30">
        <f ca="1">O15+$O$16*$O$10</f>
        <v>191675.86767997843</v>
      </c>
      <c r="P27" s="30">
        <f ca="1">SUM($O$25:O27)</f>
        <v>301675.86767997843</v>
      </c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outlineLevel="1">
      <c r="A28" s="1" t="s">
        <v>37</v>
      </c>
      <c r="B28" s="48">
        <f t="shared" ca="1" si="1"/>
        <v>46691</v>
      </c>
      <c r="C28" s="29"/>
      <c r="D28" s="30">
        <f t="shared" si="3"/>
        <v>121654.04160000001</v>
      </c>
      <c r="E28" s="30">
        <f>SUM(D$25:$D28)</f>
        <v>459255.08160000003</v>
      </c>
      <c r="F28" s="37"/>
      <c r="G28" s="48">
        <f t="shared" ca="1" si="0"/>
        <v>46691</v>
      </c>
      <c r="H28" s="1"/>
      <c r="I28" s="30">
        <f t="shared" ref="I28:I34" si="4">$I$14*$I$10</f>
        <v>45000</v>
      </c>
      <c r="J28" s="30">
        <f>SUM($I$25:I28)</f>
        <v>200000</v>
      </c>
      <c r="K28" s="1"/>
      <c r="L28" s="64">
        <f t="shared" si="2"/>
        <v>15000</v>
      </c>
      <c r="M28" s="30">
        <f>SUM($L$25:L28)</f>
        <v>262000</v>
      </c>
      <c r="N28" s="1"/>
      <c r="O28" s="30">
        <f t="shared" ref="O28:O34" si="5">$O$16*$O$10</f>
        <v>15000</v>
      </c>
      <c r="P28" s="30">
        <f ca="1">SUM($O$25:O28)</f>
        <v>316675.86767997843</v>
      </c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outlineLevel="1">
      <c r="A29" s="1" t="s">
        <v>38</v>
      </c>
      <c r="B29" s="48">
        <f t="shared" ca="1" si="1"/>
        <v>47057</v>
      </c>
      <c r="C29" s="29"/>
      <c r="D29" s="30">
        <f t="shared" si="3"/>
        <v>126520.20326400001</v>
      </c>
      <c r="E29" s="30">
        <f>SUM(D$25:$D29)</f>
        <v>585775.28486400004</v>
      </c>
      <c r="F29" s="37"/>
      <c r="G29" s="48">
        <f t="shared" ca="1" si="0"/>
        <v>47057</v>
      </c>
      <c r="H29" s="1"/>
      <c r="I29" s="30">
        <f t="shared" si="4"/>
        <v>45000</v>
      </c>
      <c r="J29" s="30">
        <f>SUM($I$25:I29)</f>
        <v>245000</v>
      </c>
      <c r="K29" s="1"/>
      <c r="L29" s="64">
        <f t="shared" si="2"/>
        <v>15000</v>
      </c>
      <c r="M29" s="30">
        <f>SUM($L$25:L29)</f>
        <v>277000</v>
      </c>
      <c r="N29" s="1"/>
      <c r="O29" s="30">
        <f t="shared" si="5"/>
        <v>15000</v>
      </c>
      <c r="P29" s="30">
        <f ca="1">SUM($O$25:O29)</f>
        <v>331675.86767997843</v>
      </c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outlineLevel="1">
      <c r="A30" s="1" t="s">
        <v>39</v>
      </c>
      <c r="B30" s="48">
        <f t="shared" ca="1" si="1"/>
        <v>47422</v>
      </c>
      <c r="C30" s="29"/>
      <c r="D30" s="30">
        <f t="shared" si="3"/>
        <v>131581.01139456002</v>
      </c>
      <c r="E30" s="30">
        <f>SUM(D$25:$D30)</f>
        <v>717356.29625856003</v>
      </c>
      <c r="F30" s="37"/>
      <c r="G30" s="48">
        <f t="shared" ca="1" si="0"/>
        <v>47422</v>
      </c>
      <c r="H30" s="1"/>
      <c r="I30" s="30">
        <f t="shared" si="4"/>
        <v>45000</v>
      </c>
      <c r="J30" s="30">
        <f>SUM($I$25:I30)</f>
        <v>290000</v>
      </c>
      <c r="K30" s="1"/>
      <c r="L30" s="64">
        <f t="shared" si="2"/>
        <v>15000</v>
      </c>
      <c r="M30" s="30">
        <f>SUM($L$25:L30)</f>
        <v>292000</v>
      </c>
      <c r="N30" s="1"/>
      <c r="O30" s="30">
        <f t="shared" si="5"/>
        <v>15000</v>
      </c>
      <c r="P30" s="30">
        <f ca="1">SUM($O$25:O30)</f>
        <v>346675.86767997843</v>
      </c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outlineLevel="1">
      <c r="A31" s="1" t="s">
        <v>40</v>
      </c>
      <c r="B31" s="48">
        <f t="shared" ca="1" si="1"/>
        <v>47787</v>
      </c>
      <c r="C31" s="29"/>
      <c r="D31" s="30">
        <f t="shared" si="3"/>
        <v>136844.25185034244</v>
      </c>
      <c r="E31" s="30">
        <f>SUM(D$25:$D31)</f>
        <v>854200.54810890253</v>
      </c>
      <c r="F31" s="37"/>
      <c r="G31" s="48">
        <f t="shared" ca="1" si="0"/>
        <v>47787</v>
      </c>
      <c r="H31" s="1"/>
      <c r="I31" s="30">
        <f t="shared" si="4"/>
        <v>45000</v>
      </c>
      <c r="J31" s="30">
        <f>SUM($I$25:I31)</f>
        <v>335000</v>
      </c>
      <c r="K31" s="1"/>
      <c r="L31" s="64">
        <f t="shared" si="2"/>
        <v>15000</v>
      </c>
      <c r="M31" s="30">
        <f>SUM($L$25:L31)</f>
        <v>307000</v>
      </c>
      <c r="N31" s="1"/>
      <c r="O31" s="30">
        <f t="shared" si="5"/>
        <v>15000</v>
      </c>
      <c r="P31" s="30">
        <f ca="1">SUM($O$25:O31)</f>
        <v>361675.86767997843</v>
      </c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outlineLevel="1">
      <c r="A32" s="1" t="s">
        <v>41</v>
      </c>
      <c r="B32" s="48">
        <f t="shared" ca="1" si="1"/>
        <v>48152</v>
      </c>
      <c r="C32" s="29"/>
      <c r="D32" s="30">
        <f t="shared" si="3"/>
        <v>142318.02192435614</v>
      </c>
      <c r="E32" s="30">
        <f>SUM(D$25:$D32)</f>
        <v>996518.57003325864</v>
      </c>
      <c r="F32" s="37"/>
      <c r="G32" s="48">
        <f t="shared" ca="1" si="0"/>
        <v>48152</v>
      </c>
      <c r="H32" s="1"/>
      <c r="I32" s="30">
        <f t="shared" si="4"/>
        <v>45000</v>
      </c>
      <c r="J32" s="30">
        <f>SUM($I$25:I32)</f>
        <v>380000</v>
      </c>
      <c r="K32" s="1"/>
      <c r="L32" s="64">
        <f t="shared" si="2"/>
        <v>15000</v>
      </c>
      <c r="M32" s="30">
        <f>SUM($L$25:L32)</f>
        <v>322000</v>
      </c>
      <c r="N32" s="1"/>
      <c r="O32" s="30">
        <f t="shared" si="5"/>
        <v>15000</v>
      </c>
      <c r="P32" s="30">
        <f ca="1">SUM($O$25:O32)</f>
        <v>376675.86767997843</v>
      </c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outlineLevel="1">
      <c r="A33" s="1" t="s">
        <v>42</v>
      </c>
      <c r="B33" s="48">
        <f t="shared" ca="1" si="1"/>
        <v>48518</v>
      </c>
      <c r="C33" s="29"/>
      <c r="D33" s="30">
        <f t="shared" si="3"/>
        <v>148010.7428013304</v>
      </c>
      <c r="E33" s="30">
        <f>SUM(D$25:$D33)</f>
        <v>1144529.312834589</v>
      </c>
      <c r="F33" s="37"/>
      <c r="G33" s="48">
        <f t="shared" ca="1" si="0"/>
        <v>48518</v>
      </c>
      <c r="H33" s="1"/>
      <c r="I33" s="30">
        <f t="shared" si="4"/>
        <v>45000</v>
      </c>
      <c r="J33" s="30">
        <f>SUM($I$25:I33)</f>
        <v>425000</v>
      </c>
      <c r="K33" s="1"/>
      <c r="L33" s="64">
        <f t="shared" si="2"/>
        <v>15000</v>
      </c>
      <c r="M33" s="30">
        <f>SUM($L$25:L33)</f>
        <v>337000</v>
      </c>
      <c r="N33" s="1"/>
      <c r="O33" s="30">
        <f t="shared" si="5"/>
        <v>15000</v>
      </c>
      <c r="P33" s="30">
        <f ca="1">SUM($O$25:O33)</f>
        <v>391675.86767997843</v>
      </c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outlineLevel="1">
      <c r="A34" s="1" t="s">
        <v>43</v>
      </c>
      <c r="B34" s="48">
        <f t="shared" ca="1" si="1"/>
        <v>48883</v>
      </c>
      <c r="C34" s="29"/>
      <c r="D34" s="30">
        <f t="shared" si="3"/>
        <v>153931.17251338362</v>
      </c>
      <c r="E34" s="30">
        <f>SUM(D$25:$D34)</f>
        <v>1298460.4853479727</v>
      </c>
      <c r="F34" s="37"/>
      <c r="G34" s="48">
        <f t="shared" ca="1" si="0"/>
        <v>48883</v>
      </c>
      <c r="H34" s="1"/>
      <c r="I34" s="30">
        <f t="shared" si="4"/>
        <v>45000</v>
      </c>
      <c r="J34" s="30">
        <f>SUM($I$25:I34)</f>
        <v>470000</v>
      </c>
      <c r="K34" s="1"/>
      <c r="L34" s="64">
        <f t="shared" si="2"/>
        <v>15000</v>
      </c>
      <c r="M34" s="30">
        <f>SUM($L$25:L34)</f>
        <v>352000</v>
      </c>
      <c r="N34" s="1"/>
      <c r="O34" s="30">
        <f t="shared" si="5"/>
        <v>15000</v>
      </c>
      <c r="P34" s="30">
        <f ca="1">SUM($O$25:O34)</f>
        <v>406675.86767997843</v>
      </c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outlineLevel="1">
      <c r="A35" s="1"/>
      <c r="B35" s="1"/>
      <c r="C35" s="1"/>
      <c r="D35" s="1"/>
      <c r="E35" s="1"/>
      <c r="F35" s="1"/>
      <c r="G35" s="1"/>
      <c r="H35" s="1"/>
      <c r="I35" s="33"/>
      <c r="J35" s="40"/>
      <c r="K35" s="40"/>
      <c r="L35" s="40"/>
      <c r="M35" s="40"/>
      <c r="N35" s="40"/>
      <c r="O35" s="40"/>
      <c r="P35" s="40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5.75" outlineLevel="1" thickBot="1">
      <c r="A36" s="1"/>
      <c r="B36" s="34" t="s">
        <v>44</v>
      </c>
      <c r="C36" s="1"/>
      <c r="D36" s="39"/>
      <c r="E36" s="39"/>
      <c r="F36" s="1"/>
      <c r="G36" s="34" t="s">
        <v>44</v>
      </c>
      <c r="H36" s="1"/>
      <c r="I36" s="33"/>
      <c r="J36" s="33"/>
      <c r="K36" s="33"/>
      <c r="L36" s="33"/>
      <c r="M36" s="33"/>
      <c r="N36" s="33"/>
      <c r="O36" s="33"/>
      <c r="P36" s="33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6.5" outlineLevel="1" thickTop="1" thickBot="1">
      <c r="A37" s="1"/>
      <c r="B37" s="21" t="s">
        <v>45</v>
      </c>
      <c r="C37" s="1"/>
      <c r="D37" s="42">
        <f ca="1">XNPV(10%,D25:D34,$B$25:$B$34)</f>
        <v>846403.63726664521</v>
      </c>
      <c r="E37" s="42"/>
      <c r="F37" s="1"/>
      <c r="G37" s="21" t="s">
        <v>45</v>
      </c>
      <c r="H37" s="1"/>
      <c r="I37" s="74">
        <f ca="1">XNPV(10%,I25:I34,$G$25:$G$34)</f>
        <v>321522.54119988269</v>
      </c>
      <c r="J37" s="73"/>
      <c r="K37" s="1"/>
      <c r="L37" s="75">
        <f ca="1">XNPV(10%,L25:L34,$G$25:$G$34)</f>
        <v>302829.4754733672</v>
      </c>
      <c r="M37" s="84"/>
      <c r="N37" s="1"/>
      <c r="O37" s="74">
        <f ca="1">XNPV(10%,O25:O34,$G$25:$G$34)</f>
        <v>322066.84981415758</v>
      </c>
      <c r="P37" s="74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6.5" outlineLevel="1" thickTop="1" thickBot="1">
      <c r="A38" s="1"/>
      <c r="B38" s="21" t="s">
        <v>46</v>
      </c>
      <c r="D38" s="42">
        <f>D34</f>
        <v>153931.17251338362</v>
      </c>
      <c r="E38" s="42"/>
      <c r="F38" s="1"/>
      <c r="G38" s="21" t="s">
        <v>46</v>
      </c>
      <c r="I38" s="74">
        <f>I34</f>
        <v>45000</v>
      </c>
      <c r="J38" s="73"/>
      <c r="L38" s="75">
        <f>L34+(L25-L26)/8</f>
        <v>40250</v>
      </c>
      <c r="M38" s="84"/>
      <c r="O38" s="74">
        <f>O34+(L25-L26)/8</f>
        <v>40250</v>
      </c>
      <c r="P38" s="74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6.5" outlineLevel="1" thickTop="1" thickBot="1">
      <c r="A39" s="1"/>
      <c r="B39" s="1"/>
      <c r="C39" s="1"/>
      <c r="D39" s="1"/>
      <c r="E39" s="1"/>
      <c r="F39" s="1"/>
      <c r="G39" s="21" t="s">
        <v>47</v>
      </c>
      <c r="I39" s="77">
        <f>$D$38-I38</f>
        <v>108931.17251338362</v>
      </c>
      <c r="J39" s="72"/>
      <c r="L39" s="91">
        <f>$D$38-L38</f>
        <v>113681.17251338362</v>
      </c>
      <c r="M39" s="87"/>
      <c r="O39" s="77">
        <f>$D$38-O38</f>
        <v>113681.17251338362</v>
      </c>
      <c r="P39" s="77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6.5" thickTop="1" thickBot="1">
      <c r="A40" s="1"/>
      <c r="B40" s="1"/>
      <c r="C40" s="1"/>
      <c r="D40" s="1"/>
      <c r="E40" s="1"/>
      <c r="F40" s="1"/>
      <c r="G40" s="21" t="s">
        <v>48</v>
      </c>
      <c r="H40" s="1"/>
      <c r="I40" s="78" t="s">
        <v>49</v>
      </c>
      <c r="J40" s="71"/>
      <c r="K40" s="69"/>
      <c r="L40" s="92">
        <f>(L25-L26)/($D$25-L26)</f>
        <v>2.1685453569511539</v>
      </c>
      <c r="M40" s="86"/>
      <c r="N40" s="1"/>
      <c r="O40" s="88" t="str">
        <f ca="1">ROUND((O27+SUM(O25:O26)-E26)/(D27-O28),2)&amp;" yrs *"</f>
        <v>0.79 yrs *</v>
      </c>
      <c r="P40" s="88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6.5" thickTop="1" thickBot="1">
      <c r="A41" s="1"/>
      <c r="B41" s="1"/>
      <c r="C41" s="1"/>
      <c r="D41" s="1"/>
      <c r="E41" s="1"/>
      <c r="F41" s="1"/>
      <c r="G41" s="21" t="s">
        <v>50</v>
      </c>
      <c r="H41" s="24"/>
      <c r="I41" s="78" t="s">
        <v>49</v>
      </c>
      <c r="J41" s="71"/>
      <c r="K41" s="1"/>
      <c r="L41" s="93">
        <f>(SUM($D$25:$D$34)-SUM(L25:L34))/(L25-L26)</f>
        <v>4.6854479472671917</v>
      </c>
      <c r="M41" s="85"/>
      <c r="N41" s="1"/>
      <c r="O41" s="89">
        <f ca="1">(SUM($D$25:$D$34)-SUM(O25:O34))/O27</f>
        <v>4.6525659618085866</v>
      </c>
      <c r="P41" s="89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5.75" thickTop="1">
      <c r="A42" s="1"/>
      <c r="B42" s="1"/>
      <c r="C42" s="1"/>
      <c r="D42" s="1"/>
      <c r="E42" s="1"/>
      <c r="F42" s="1"/>
      <c r="G42" s="31" t="s">
        <v>51</v>
      </c>
      <c r="H42" s="32"/>
      <c r="I42" s="79" t="s">
        <v>52</v>
      </c>
      <c r="J42" s="26"/>
      <c r="K42" s="1"/>
      <c r="L42" s="94" t="s">
        <v>52</v>
      </c>
      <c r="M42" s="60"/>
      <c r="N42" s="1"/>
      <c r="O42" s="79" t="s">
        <v>52</v>
      </c>
      <c r="P42" s="79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>
      <c r="A43" s="1"/>
      <c r="B43" s="1"/>
      <c r="C43" s="1"/>
      <c r="D43" s="1"/>
      <c r="E43" s="1"/>
      <c r="F43" s="1"/>
      <c r="G43" s="32"/>
      <c r="H43" s="32"/>
      <c r="I43" s="79" t="s">
        <v>53</v>
      </c>
      <c r="J43" s="26"/>
      <c r="K43" s="1"/>
      <c r="L43" s="94" t="s">
        <v>53</v>
      </c>
      <c r="M43" s="60"/>
      <c r="N43" s="1"/>
      <c r="O43" s="79" t="s">
        <v>53</v>
      </c>
      <c r="P43" s="79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>
      <c r="A44" s="1"/>
      <c r="B44" s="1"/>
      <c r="C44" s="1"/>
      <c r="D44" s="1"/>
      <c r="E44" s="1"/>
      <c r="F44" s="1"/>
      <c r="G44" s="32"/>
      <c r="H44" s="32"/>
      <c r="I44" s="79" t="s">
        <v>54</v>
      </c>
      <c r="J44" s="26"/>
      <c r="K44" s="1"/>
      <c r="L44" s="94" t="s">
        <v>54</v>
      </c>
      <c r="M44" s="60"/>
      <c r="N44" s="1"/>
      <c r="O44" s="79" t="s">
        <v>54</v>
      </c>
      <c r="P44" s="79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>
      <c r="A45" s="1"/>
      <c r="B45" s="1"/>
      <c r="C45" s="1"/>
      <c r="D45" s="1"/>
      <c r="E45" s="1"/>
      <c r="F45" s="1"/>
      <c r="G45" s="32"/>
      <c r="H45" s="32"/>
      <c r="I45" s="79" t="s">
        <v>55</v>
      </c>
      <c r="J45" s="26"/>
      <c r="K45" s="1"/>
      <c r="L45" s="94" t="s">
        <v>55</v>
      </c>
      <c r="M45" s="60"/>
      <c r="N45" s="1"/>
      <c r="O45" s="79" t="s">
        <v>55</v>
      </c>
      <c r="P45" s="79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5.75" thickBot="1">
      <c r="A46" s="1"/>
      <c r="C46" s="1"/>
      <c r="D46" s="1"/>
      <c r="E46" s="1"/>
      <c r="F46" s="1"/>
      <c r="G46" s="32"/>
      <c r="H46" s="1"/>
      <c r="I46" s="79" t="s">
        <v>56</v>
      </c>
      <c r="J46" s="26"/>
      <c r="K46" s="1"/>
      <c r="L46" s="95" t="s">
        <v>56</v>
      </c>
      <c r="M46" s="61"/>
      <c r="N46" s="1"/>
      <c r="O46" s="79" t="s">
        <v>56</v>
      </c>
      <c r="P46" s="79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5" customHeight="1" thickTop="1" thickBot="1">
      <c r="A47" s="1"/>
      <c r="B47" s="49" t="s">
        <v>57</v>
      </c>
      <c r="C47" s="1"/>
      <c r="D47" s="1"/>
      <c r="E47" s="1"/>
      <c r="F47" s="1"/>
      <c r="H47" s="1"/>
      <c r="I47" s="80" t="s">
        <v>58</v>
      </c>
      <c r="J47" s="25"/>
      <c r="K47" s="1"/>
      <c r="L47" s="1"/>
      <c r="M47" s="1"/>
      <c r="N47" s="1"/>
      <c r="O47" s="80" t="s">
        <v>59</v>
      </c>
      <c r="P47" s="90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5.75" thickTop="1">
      <c r="A48" s="1"/>
      <c r="B48" s="1"/>
      <c r="C48" s="1"/>
      <c r="D48" s="1"/>
      <c r="E48" s="1"/>
      <c r="F48" s="1"/>
      <c r="G48" s="67" t="s">
        <v>60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>
      <c r="A49" s="1"/>
      <c r="B49" s="1"/>
      <c r="C49" s="1"/>
      <c r="D49" s="1"/>
      <c r="E49" s="1"/>
      <c r="F49" s="1"/>
      <c r="G49" s="58"/>
      <c r="H49" s="1"/>
      <c r="I49" s="1"/>
      <c r="J49" s="1"/>
      <c r="K49" s="1"/>
      <c r="L49" s="1"/>
      <c r="M49" s="1"/>
      <c r="N49" s="1"/>
      <c r="O49" s="1" t="s">
        <v>61</v>
      </c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>
      <c r="A50" s="1"/>
      <c r="B50" s="1"/>
      <c r="C50" s="1"/>
      <c r="D50" s="1"/>
      <c r="E50" s="1"/>
      <c r="F50" s="1"/>
      <c r="G50" s="58"/>
      <c r="H50" s="1"/>
      <c r="I50" s="1"/>
      <c r="J50" s="1"/>
      <c r="K50" s="1"/>
      <c r="L50" s="1"/>
      <c r="M50" s="1"/>
      <c r="N50" s="1"/>
      <c r="O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4.85" customHeight="1">
      <c r="A51" s="1"/>
      <c r="B51" s="1"/>
      <c r="C51" s="1"/>
      <c r="D51" s="1"/>
      <c r="E51" s="1"/>
      <c r="F51" s="1"/>
      <c r="G51" s="58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>
      <c r="A53" s="1"/>
      <c r="B53" s="1"/>
      <c r="C53" s="1"/>
      <c r="D53" s="1"/>
      <c r="E53" s="1"/>
      <c r="F53" s="97">
        <f ca="1">D37-L37</f>
        <v>543574.16179327806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>
      <c r="A55" s="1"/>
      <c r="B55" s="1"/>
      <c r="C55" s="1"/>
      <c r="D55" s="1"/>
      <c r="E55" s="1"/>
      <c r="F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30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30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30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30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30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3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30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30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30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30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30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30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</sheetData>
  <phoneticPr fontId="17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29112-EECE-46C8-AA0C-0E911763BAE3}">
  <dimension ref="A1:AQ122"/>
  <sheetViews>
    <sheetView topLeftCell="C1" zoomScale="55" zoomScaleNormal="55" workbookViewId="0">
      <selection activeCell="G20" sqref="G20"/>
    </sheetView>
  </sheetViews>
  <sheetFormatPr defaultColWidth="8.7109375" defaultRowHeight="15" outlineLevelCol="1"/>
  <cols>
    <col min="1" max="1" width="3.5703125" customWidth="1"/>
    <col min="2" max="2" width="63.7109375" customWidth="1"/>
    <col min="3" max="3" width="1.7109375" bestFit="1" customWidth="1"/>
    <col min="4" max="7" width="15.7109375" customWidth="1"/>
    <col min="8" max="8" width="17.5703125" customWidth="1"/>
    <col min="9" max="9" width="43" customWidth="1"/>
    <col min="10" max="10" width="1.28515625" bestFit="1" customWidth="1"/>
    <col min="11" max="14" width="15.7109375" customWidth="1"/>
    <col min="15" max="15" width="1.7109375" customWidth="1"/>
    <col min="16" max="19" width="15.7109375" customWidth="1"/>
    <col min="20" max="20" width="1.7109375" customWidth="1"/>
    <col min="21" max="21" width="15.7109375" customWidth="1"/>
    <col min="22" max="24" width="15.7109375" customWidth="1" outlineLevel="1"/>
    <col min="25" max="25" width="10.85546875" bestFit="1" customWidth="1"/>
    <col min="26" max="27" width="9.28515625" bestFit="1" customWidth="1"/>
    <col min="28" max="28" width="8.7109375" customWidth="1"/>
    <col min="29" max="29" width="24" customWidth="1"/>
    <col min="30" max="31" width="8.7109375" customWidth="1"/>
    <col min="32" max="32" width="14.28515625" customWidth="1"/>
    <col min="33" max="37" width="8.7109375" customWidth="1"/>
    <col min="40" max="41" width="15.28515625" bestFit="1" customWidth="1"/>
    <col min="42" max="42" width="12.28515625" bestFit="1" customWidth="1"/>
  </cols>
  <sheetData>
    <row r="1" spans="1:43" ht="46.5">
      <c r="A1" s="23" t="s">
        <v>62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37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pans="1:43">
      <c r="A4" s="1"/>
      <c r="B4" s="47" t="s">
        <v>1</v>
      </c>
      <c r="D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3">
      <c r="A5" s="1"/>
      <c r="B5" s="2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>
      <c r="A6" s="1"/>
      <c r="C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4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3">
      <c r="A8" s="1"/>
      <c r="B8" s="1"/>
      <c r="C8" s="1" t="s">
        <v>2</v>
      </c>
      <c r="D8" s="19" t="s">
        <v>63</v>
      </c>
      <c r="E8" s="19"/>
      <c r="F8" s="19"/>
      <c r="G8" s="19"/>
      <c r="H8" s="38"/>
      <c r="I8" s="38"/>
      <c r="J8" s="1" t="s">
        <v>2</v>
      </c>
      <c r="K8" s="19" t="s">
        <v>4</v>
      </c>
      <c r="L8" s="19"/>
      <c r="M8" s="19"/>
      <c r="N8" s="19"/>
      <c r="O8" s="1" t="s">
        <v>2</v>
      </c>
      <c r="P8" s="19" t="s">
        <v>6</v>
      </c>
      <c r="Q8" s="19"/>
      <c r="R8" s="19"/>
      <c r="S8" s="19"/>
      <c r="T8" s="1" t="s">
        <v>2</v>
      </c>
      <c r="U8" s="59" t="s">
        <v>5</v>
      </c>
      <c r="V8" s="59"/>
      <c r="W8" s="59"/>
      <c r="X8" s="59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</row>
    <row r="9" spans="1:43" ht="15.75" thickBot="1">
      <c r="A9" s="1"/>
      <c r="B9" s="27" t="s">
        <v>7</v>
      </c>
      <c r="C9" s="1"/>
      <c r="D9" s="34"/>
      <c r="E9" s="34"/>
      <c r="F9" s="34"/>
      <c r="G9" s="34"/>
      <c r="H9" s="1"/>
      <c r="I9" s="27" t="s">
        <v>8</v>
      </c>
      <c r="J9" s="1"/>
      <c r="K9" s="27"/>
      <c r="L9" s="27"/>
      <c r="M9" s="27"/>
      <c r="N9" s="27"/>
      <c r="O9" s="1"/>
      <c r="P9" s="27"/>
      <c r="Q9" s="27"/>
      <c r="R9" s="27"/>
      <c r="S9" s="27"/>
      <c r="T9" s="1"/>
      <c r="U9" s="27"/>
      <c r="V9" s="27"/>
      <c r="W9" s="27"/>
      <c r="X9" s="27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</row>
    <row r="10" spans="1:43" ht="15.75" thickTop="1">
      <c r="A10" s="1"/>
      <c r="B10" s="21" t="s">
        <v>64</v>
      </c>
      <c r="C10" s="1"/>
      <c r="D10" s="50">
        <f>'Material recovery'!$C$26</f>
        <v>372956.62126588065</v>
      </c>
      <c r="E10" s="43"/>
      <c r="F10" s="43"/>
      <c r="G10" s="43"/>
      <c r="H10" s="1"/>
      <c r="I10" s="21" t="s">
        <v>65</v>
      </c>
      <c r="J10" s="1"/>
      <c r="K10" s="53">
        <v>2</v>
      </c>
      <c r="L10" s="53"/>
      <c r="M10" s="53"/>
      <c r="N10" s="53"/>
      <c r="O10" s="54"/>
      <c r="P10" s="55">
        <f>K10</f>
        <v>2</v>
      </c>
      <c r="Q10" s="55"/>
      <c r="R10" s="55"/>
      <c r="S10" s="55"/>
      <c r="T10" s="54"/>
      <c r="U10" s="55">
        <f>P10</f>
        <v>2</v>
      </c>
      <c r="V10" s="55"/>
      <c r="W10" s="55"/>
      <c r="X10" s="55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</row>
    <row r="11" spans="1:43">
      <c r="A11" s="1"/>
      <c r="B11" s="37"/>
      <c r="C11" s="37"/>
      <c r="D11" s="37"/>
      <c r="E11" s="37"/>
      <c r="F11" s="37"/>
      <c r="G11" s="37"/>
      <c r="H11" s="1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</row>
    <row r="12" spans="1:43" ht="15.75" thickBot="1">
      <c r="A12" s="1"/>
      <c r="B12" s="37"/>
      <c r="C12" s="37"/>
      <c r="D12" s="37"/>
      <c r="E12" s="37"/>
      <c r="F12" s="37"/>
      <c r="G12" s="37"/>
      <c r="H12" s="1"/>
      <c r="I12" s="34" t="s">
        <v>12</v>
      </c>
      <c r="J12" s="1"/>
      <c r="K12" s="34"/>
      <c r="L12" s="34"/>
      <c r="M12" s="34"/>
      <c r="N12" s="34"/>
      <c r="O12" s="1"/>
      <c r="P12" s="34"/>
      <c r="Q12" s="34"/>
      <c r="R12" s="34"/>
      <c r="S12" s="34"/>
      <c r="T12" s="1"/>
      <c r="U12" s="34"/>
      <c r="V12" s="34"/>
      <c r="W12" s="34"/>
      <c r="X12" s="34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</row>
    <row r="13" spans="1:43" ht="15.75" thickTop="1">
      <c r="A13" s="1"/>
      <c r="B13" s="37"/>
      <c r="C13" s="37"/>
      <c r="D13" s="37"/>
      <c r="E13" s="37"/>
      <c r="F13" s="37"/>
      <c r="G13" s="37"/>
      <c r="H13" s="1"/>
      <c r="I13" s="21" t="s">
        <v>14</v>
      </c>
      <c r="J13" s="1"/>
      <c r="K13" s="50">
        <v>82000</v>
      </c>
      <c r="L13" s="50"/>
      <c r="M13" s="50"/>
      <c r="N13" s="50"/>
      <c r="O13" s="54"/>
      <c r="P13" s="50">
        <f>K13</f>
        <v>82000</v>
      </c>
      <c r="Q13" s="50"/>
      <c r="R13" s="50"/>
      <c r="S13" s="50"/>
      <c r="T13" s="54"/>
      <c r="U13" s="83"/>
      <c r="V13" s="83"/>
      <c r="W13" s="83"/>
      <c r="X13" s="83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</row>
    <row r="14" spans="1:43">
      <c r="A14" s="1"/>
      <c r="B14" s="37"/>
      <c r="C14" s="37"/>
      <c r="D14" s="37"/>
      <c r="E14" s="37"/>
      <c r="F14" s="37"/>
      <c r="G14" s="37"/>
      <c r="H14" s="1"/>
      <c r="I14" s="21" t="s">
        <v>16</v>
      </c>
      <c r="J14" s="1"/>
      <c r="K14" s="50">
        <v>69200</v>
      </c>
      <c r="L14" s="50"/>
      <c r="M14" s="50"/>
      <c r="N14" s="50"/>
      <c r="O14" s="54"/>
      <c r="P14" s="83"/>
      <c r="Q14" s="83"/>
      <c r="R14" s="83"/>
      <c r="S14" s="83"/>
      <c r="T14" s="54"/>
      <c r="U14" s="83"/>
      <c r="V14" s="83"/>
      <c r="W14" s="83"/>
      <c r="X14" s="83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</row>
    <row r="15" spans="1:43" hidden="1">
      <c r="A15" s="1"/>
      <c r="B15" s="37"/>
      <c r="C15" s="37"/>
      <c r="D15" s="37"/>
      <c r="E15" s="37"/>
      <c r="F15" s="37"/>
      <c r="G15" s="37"/>
      <c r="H15" s="1"/>
      <c r="I15" s="21" t="s">
        <v>66</v>
      </c>
      <c r="J15" s="1"/>
      <c r="K15" s="50"/>
      <c r="L15" s="50"/>
      <c r="M15" s="50"/>
      <c r="N15" s="50"/>
      <c r="O15" s="54"/>
      <c r="P15" s="50">
        <f ca="1">XNPV(10%,L28:L35,I28:I35)-XNPV(10%,Q28:Q35,I28:I35)</f>
        <v>635994.05114351679</v>
      </c>
      <c r="Q15" s="50"/>
      <c r="R15" s="50"/>
      <c r="S15" s="50"/>
      <c r="T15" s="54"/>
      <c r="U15" s="83"/>
      <c r="V15" s="83"/>
      <c r="W15" s="83"/>
      <c r="X15" s="83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</row>
    <row r="16" spans="1:43" collapsed="1">
      <c r="A16" s="1"/>
      <c r="B16" s="37"/>
      <c r="C16" s="37"/>
      <c r="D16" s="37"/>
      <c r="E16" s="37"/>
      <c r="F16" s="37"/>
      <c r="G16" s="37"/>
      <c r="H16" s="1"/>
      <c r="I16" s="21" t="s">
        <v>67</v>
      </c>
      <c r="J16" s="1"/>
      <c r="K16" s="83"/>
      <c r="L16" s="83"/>
      <c r="M16" s="83"/>
      <c r="N16" s="83"/>
      <c r="O16" s="54"/>
      <c r="P16" s="83"/>
      <c r="Q16" s="83"/>
      <c r="R16" s="83"/>
      <c r="S16" s="83"/>
      <c r="T16" s="54"/>
      <c r="U16" s="50">
        <v>202000</v>
      </c>
      <c r="V16" s="50"/>
      <c r="W16" s="50"/>
      <c r="X16" s="50"/>
      <c r="Y16" s="8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</row>
    <row r="17" spans="1:43">
      <c r="A17" s="1"/>
      <c r="B17" s="37"/>
      <c r="C17" s="37"/>
      <c r="D17" s="37"/>
      <c r="E17" s="37"/>
      <c r="F17" s="37"/>
      <c r="G17" s="37"/>
      <c r="H17" s="1"/>
      <c r="I17" s="21" t="s">
        <v>20</v>
      </c>
      <c r="J17" s="1"/>
      <c r="K17" s="83"/>
      <c r="L17" s="83"/>
      <c r="M17" s="83"/>
      <c r="N17" s="83"/>
      <c r="O17" s="54"/>
      <c r="P17" s="50">
        <f>U17</f>
        <v>15000</v>
      </c>
      <c r="Q17" s="50"/>
      <c r="R17" s="50"/>
      <c r="S17" s="50"/>
      <c r="T17" s="54"/>
      <c r="U17" s="50">
        <v>15000</v>
      </c>
      <c r="V17" s="50"/>
      <c r="W17" s="50"/>
      <c r="X17" s="50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</row>
    <row r="18" spans="1:43">
      <c r="A18" s="1"/>
      <c r="B18" s="37"/>
      <c r="C18" s="37"/>
      <c r="D18" s="37"/>
      <c r="E18" s="37"/>
      <c r="F18" s="37"/>
      <c r="G18" s="37"/>
      <c r="H18" s="1"/>
      <c r="I18" s="21" t="s">
        <v>22</v>
      </c>
      <c r="J18" s="1"/>
      <c r="K18" s="50">
        <v>300000</v>
      </c>
      <c r="L18" s="50"/>
      <c r="M18" s="50"/>
      <c r="N18" s="50"/>
      <c r="O18" s="54"/>
      <c r="P18" s="50">
        <f>K18</f>
        <v>300000</v>
      </c>
      <c r="Q18" s="50"/>
      <c r="R18" s="50"/>
      <c r="S18" s="50"/>
      <c r="T18" s="54"/>
      <c r="U18" s="50">
        <f>P18</f>
        <v>300000</v>
      </c>
      <c r="V18" s="50"/>
      <c r="W18" s="50"/>
      <c r="X18" s="50"/>
      <c r="Y18" s="1"/>
      <c r="Z18" s="1"/>
      <c r="AA18" s="1"/>
      <c r="AB18" s="1"/>
      <c r="AC18" s="70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</row>
    <row r="19" spans="1:43">
      <c r="A19" s="1"/>
      <c r="B19" s="1"/>
      <c r="C19" s="1"/>
      <c r="D19" s="1"/>
      <c r="E19" s="37"/>
      <c r="F19" s="37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70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</row>
    <row r="20" spans="1:43" ht="15.75" thickBot="1">
      <c r="A20" s="1"/>
      <c r="B20" s="1"/>
      <c r="C20" s="1"/>
      <c r="D20" s="1"/>
      <c r="E20" s="37"/>
      <c r="F20" s="37"/>
      <c r="G20" s="1"/>
      <c r="H20" s="1"/>
      <c r="I20" s="34" t="s">
        <v>23</v>
      </c>
      <c r="J20" s="1"/>
      <c r="K20" s="34"/>
      <c r="L20" s="34"/>
      <c r="M20" s="34"/>
      <c r="N20" s="62"/>
      <c r="O20" s="1"/>
      <c r="P20" s="34"/>
      <c r="Q20" s="34"/>
      <c r="R20" s="34"/>
      <c r="S20" s="62"/>
      <c r="T20" s="1"/>
      <c r="U20" s="62"/>
      <c r="V20" s="62"/>
      <c r="W20" s="62"/>
      <c r="X20" s="62"/>
      <c r="Y20" s="1"/>
      <c r="Z20" s="1"/>
      <c r="AA20" s="1"/>
      <c r="AB20" s="1"/>
      <c r="AC20" s="70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</row>
    <row r="21" spans="1:43" ht="16.5" thickTop="1" thickBot="1">
      <c r="A21" s="1"/>
      <c r="B21" s="1"/>
      <c r="C21" s="1"/>
      <c r="D21" s="1"/>
      <c r="E21" s="37"/>
      <c r="F21" s="37"/>
      <c r="G21" s="1"/>
      <c r="H21" s="1"/>
      <c r="I21" s="21" t="s">
        <v>24</v>
      </c>
      <c r="J21" s="1"/>
      <c r="K21" s="82" t="s">
        <v>25</v>
      </c>
      <c r="L21" s="82"/>
      <c r="M21" s="82"/>
      <c r="N21" s="74"/>
      <c r="O21" s="54"/>
      <c r="P21" s="82" t="s">
        <v>25</v>
      </c>
      <c r="Q21" s="82"/>
      <c r="R21" s="82"/>
      <c r="S21" s="74"/>
      <c r="T21" s="54"/>
      <c r="U21" s="84" t="s">
        <v>26</v>
      </c>
      <c r="V21" s="84"/>
      <c r="W21" s="84"/>
      <c r="X21" s="84"/>
      <c r="Y21" s="1"/>
      <c r="Z21" s="1"/>
      <c r="AA21" s="1"/>
      <c r="AB21" s="1"/>
      <c r="AC21" s="70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</row>
    <row r="22" spans="1:43" ht="16.5" thickTop="1" thickBot="1">
      <c r="A22" s="1"/>
      <c r="B22" s="1"/>
      <c r="C22" s="1"/>
      <c r="D22" s="1"/>
      <c r="E22" s="37"/>
      <c r="F22" s="37"/>
      <c r="G22" s="1"/>
      <c r="H22" s="1"/>
      <c r="I22" s="21" t="s">
        <v>27</v>
      </c>
      <c r="J22" s="1"/>
      <c r="K22" s="82" t="s">
        <v>28</v>
      </c>
      <c r="L22" s="82"/>
      <c r="M22" s="82"/>
      <c r="N22" s="74"/>
      <c r="O22" s="54"/>
      <c r="P22" s="82" t="s">
        <v>29</v>
      </c>
      <c r="Q22" s="82"/>
      <c r="R22" s="82"/>
      <c r="S22" s="74"/>
      <c r="T22" s="54"/>
      <c r="U22" s="84" t="s">
        <v>29</v>
      </c>
      <c r="V22" s="84"/>
      <c r="W22" s="84"/>
      <c r="X22" s="84"/>
      <c r="Y22" s="1"/>
      <c r="Z22" s="1"/>
      <c r="AA22" s="1"/>
      <c r="AB22" s="1"/>
      <c r="AC22" s="70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</row>
    <row r="23" spans="1:43" ht="15.75" thickTop="1">
      <c r="A23" s="1"/>
      <c r="B23" s="1"/>
      <c r="C23" s="1"/>
      <c r="D23" s="1"/>
      <c r="E23" s="37"/>
      <c r="F23" s="37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66"/>
      <c r="V23" s="66"/>
      <c r="W23" s="66"/>
      <c r="X23" s="76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</row>
    <row r="24" spans="1:43" ht="15.75" thickBot="1">
      <c r="A24" s="1"/>
      <c r="B24" s="27" t="s">
        <v>30</v>
      </c>
      <c r="C24" s="1"/>
      <c r="D24" s="27"/>
      <c r="E24" s="27"/>
      <c r="F24" s="27"/>
      <c r="G24" s="27"/>
      <c r="H24" s="1"/>
      <c r="I24" s="27" t="s">
        <v>30</v>
      </c>
      <c r="J24" s="1"/>
      <c r="K24" s="27"/>
      <c r="L24" s="27"/>
      <c r="M24" s="27"/>
      <c r="N24" s="27"/>
      <c r="O24" s="1"/>
      <c r="P24" s="27"/>
      <c r="Q24" s="27"/>
      <c r="R24" s="27"/>
      <c r="S24" s="27"/>
      <c r="T24" s="1"/>
      <c r="U24" s="39"/>
      <c r="V24" s="39"/>
      <c r="W24" s="39"/>
      <c r="X24" s="39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</row>
    <row r="25" spans="1:43" ht="18" thickTop="1">
      <c r="A25" s="1"/>
      <c r="B25" s="41" t="s">
        <v>31</v>
      </c>
      <c r="C25" s="1"/>
      <c r="D25" s="20" t="s">
        <v>68</v>
      </c>
      <c r="E25" s="20" t="s">
        <v>69</v>
      </c>
      <c r="F25" s="20" t="s">
        <v>32</v>
      </c>
      <c r="G25" s="20" t="s">
        <v>33</v>
      </c>
      <c r="H25" s="1"/>
      <c r="I25" s="41" t="s">
        <v>31</v>
      </c>
      <c r="J25" s="1"/>
      <c r="K25" s="35" t="s">
        <v>68</v>
      </c>
      <c r="L25" s="35" t="s">
        <v>69</v>
      </c>
      <c r="M25" s="35" t="s">
        <v>32</v>
      </c>
      <c r="N25" s="20" t="s">
        <v>33</v>
      </c>
      <c r="O25" s="1"/>
      <c r="P25" s="35" t="s">
        <v>68</v>
      </c>
      <c r="Q25" s="35" t="s">
        <v>69</v>
      </c>
      <c r="R25" s="35" t="s">
        <v>32</v>
      </c>
      <c r="S25" s="20" t="s">
        <v>33</v>
      </c>
      <c r="T25" s="1"/>
      <c r="U25" s="63" t="s">
        <v>68</v>
      </c>
      <c r="V25" s="63" t="s">
        <v>69</v>
      </c>
      <c r="W25" s="63" t="s">
        <v>32</v>
      </c>
      <c r="X25" s="63" t="s">
        <v>33</v>
      </c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</row>
    <row r="26" spans="1:43">
      <c r="A26" s="1" t="s">
        <v>34</v>
      </c>
      <c r="B26" s="48">
        <f ca="1">TODAY()</f>
        <v>45572</v>
      </c>
      <c r="C26" s="1"/>
      <c r="D26" s="28"/>
      <c r="E26" s="30">
        <f>$D$10</f>
        <v>372956.62126588065</v>
      </c>
      <c r="F26" s="30">
        <f t="shared" ref="F26:F35" si="0">SUM(D26:E26)</f>
        <v>372956.62126588065</v>
      </c>
      <c r="G26" s="30">
        <f>SUM(D$26:$E26)</f>
        <v>372956.62126588065</v>
      </c>
      <c r="H26" s="37"/>
      <c r="I26" s="48">
        <f t="shared" ref="I26:I35" ca="1" si="1">B26</f>
        <v>45572</v>
      </c>
      <c r="J26" s="1"/>
      <c r="K26" s="96">
        <f>K18</f>
        <v>300000</v>
      </c>
      <c r="L26" s="30">
        <f>$K$13*$K$10</f>
        <v>164000</v>
      </c>
      <c r="M26" s="30">
        <f>SUM(K26:L26)</f>
        <v>464000</v>
      </c>
      <c r="N26" s="30">
        <f>SUM($M$26:M26)</f>
        <v>464000</v>
      </c>
      <c r="O26" s="1"/>
      <c r="P26" s="30">
        <f>P18</f>
        <v>300000</v>
      </c>
      <c r="Q26" s="30">
        <f>$P$13*$P$10</f>
        <v>164000</v>
      </c>
      <c r="R26" s="30">
        <f>SUM(P26:Q26)</f>
        <v>464000</v>
      </c>
      <c r="S26" s="30">
        <f>SUM($R$26:R26)</f>
        <v>464000</v>
      </c>
      <c r="T26" s="1"/>
      <c r="U26" s="30">
        <f>(U16)*U10+U18</f>
        <v>704000</v>
      </c>
      <c r="V26" s="30">
        <f t="shared" ref="V26:V32" si="2">$U$17*$U$10</f>
        <v>30000</v>
      </c>
      <c r="W26" s="30">
        <f>SUM(U26:V26)</f>
        <v>734000</v>
      </c>
      <c r="X26" s="30">
        <f>SUM($W$26:W26)</f>
        <v>734000</v>
      </c>
      <c r="Y26" s="1"/>
      <c r="Z26" s="37"/>
      <c r="AA26" s="37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</row>
    <row r="27" spans="1:43">
      <c r="A27" s="1" t="s">
        <v>35</v>
      </c>
      <c r="B27" s="48">
        <f t="shared" ref="B27:B35" ca="1" si="3">EOMONTH(B26,12)</f>
        <v>45961</v>
      </c>
      <c r="C27" s="1"/>
      <c r="D27" s="28"/>
      <c r="E27" s="30">
        <f t="shared" ref="E27:E35" si="4">$D$10</f>
        <v>372956.62126588065</v>
      </c>
      <c r="F27" s="30">
        <f t="shared" si="0"/>
        <v>372956.62126588065</v>
      </c>
      <c r="G27" s="30">
        <f>SUM(D$26:$E27)</f>
        <v>745913.24253176129</v>
      </c>
      <c r="H27" s="37"/>
      <c r="I27" s="48">
        <f t="shared" ca="1" si="1"/>
        <v>45961</v>
      </c>
      <c r="J27" s="1"/>
      <c r="K27" s="28"/>
      <c r="L27" s="30">
        <f>$K$13*$K$10</f>
        <v>164000</v>
      </c>
      <c r="M27" s="30">
        <f>SUM(K27:L27)</f>
        <v>164000</v>
      </c>
      <c r="N27" s="30">
        <f>SUM($M$26:M27)</f>
        <v>628000</v>
      </c>
      <c r="O27" s="1"/>
      <c r="P27" s="30"/>
      <c r="Q27" s="30">
        <f>$P$13*$P$10</f>
        <v>164000</v>
      </c>
      <c r="R27" s="30">
        <f t="shared" ref="R27:R35" si="5">SUM(P27:Q27)</f>
        <v>164000</v>
      </c>
      <c r="S27" s="30">
        <f>SUM($R$26:R27)</f>
        <v>628000</v>
      </c>
      <c r="T27" s="1"/>
      <c r="U27" s="64"/>
      <c r="V27" s="64">
        <f t="shared" si="2"/>
        <v>30000</v>
      </c>
      <c r="W27" s="64">
        <f t="shared" ref="W27:W35" si="6">SUM(U27:V27)</f>
        <v>30000</v>
      </c>
      <c r="X27" s="30">
        <f>SUM($W$26:W27)</f>
        <v>764000</v>
      </c>
      <c r="Y27" s="1"/>
      <c r="Z27" s="57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</row>
    <row r="28" spans="1:43">
      <c r="A28" s="1" t="s">
        <v>36</v>
      </c>
      <c r="B28" s="48">
        <f t="shared" ca="1" si="3"/>
        <v>46326</v>
      </c>
      <c r="C28" s="29"/>
      <c r="D28" s="28"/>
      <c r="E28" s="30">
        <f t="shared" si="4"/>
        <v>372956.62126588065</v>
      </c>
      <c r="F28" s="30">
        <f t="shared" si="0"/>
        <v>372956.62126588065</v>
      </c>
      <c r="G28" s="30">
        <f>SUM(D$26:$E28)</f>
        <v>1118869.8637976418</v>
      </c>
      <c r="H28" s="37"/>
      <c r="I28" s="48">
        <f t="shared" ca="1" si="1"/>
        <v>46326</v>
      </c>
      <c r="J28" s="1"/>
      <c r="K28" s="36"/>
      <c r="L28" s="30">
        <f>$K$14*$K$10</f>
        <v>138400</v>
      </c>
      <c r="M28" s="30">
        <f t="shared" ref="M28:M35" si="7">SUM(K28:L28)</f>
        <v>138400</v>
      </c>
      <c r="N28" s="30">
        <f>SUM($M$26:M28)</f>
        <v>766400</v>
      </c>
      <c r="O28" s="1"/>
      <c r="P28" s="30">
        <f ca="1">P15</f>
        <v>635994.05114351679</v>
      </c>
      <c r="Q28" s="30">
        <f>$P$17*$P$10</f>
        <v>30000</v>
      </c>
      <c r="R28" s="30">
        <f ca="1">SUM(P28:Q28)</f>
        <v>665994.05114351679</v>
      </c>
      <c r="S28" s="30">
        <f ca="1">SUM($R$26:R28)</f>
        <v>1293994.0511435168</v>
      </c>
      <c r="T28" s="1"/>
      <c r="U28" s="64"/>
      <c r="V28" s="64">
        <f t="shared" si="2"/>
        <v>30000</v>
      </c>
      <c r="W28" s="64">
        <f t="shared" si="6"/>
        <v>30000</v>
      </c>
      <c r="X28" s="30">
        <f>SUM($W$26:W28)</f>
        <v>794000</v>
      </c>
      <c r="Y28" s="1"/>
      <c r="Z28" s="37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</row>
    <row r="29" spans="1:43">
      <c r="A29" s="1" t="s">
        <v>37</v>
      </c>
      <c r="B29" s="48">
        <f t="shared" ca="1" si="3"/>
        <v>46691</v>
      </c>
      <c r="C29" s="29"/>
      <c r="D29" s="28"/>
      <c r="E29" s="30">
        <f t="shared" si="4"/>
        <v>372956.62126588065</v>
      </c>
      <c r="F29" s="30">
        <f t="shared" si="0"/>
        <v>372956.62126588065</v>
      </c>
      <c r="G29" s="30">
        <f>SUM(D$26:$E29)</f>
        <v>1491826.4850635226</v>
      </c>
      <c r="H29" s="37"/>
      <c r="I29" s="48">
        <f t="shared" ca="1" si="1"/>
        <v>46691</v>
      </c>
      <c r="J29" s="1"/>
      <c r="K29" s="28"/>
      <c r="L29" s="30">
        <f t="shared" ref="L29:L35" si="8">$K$14*$K$10</f>
        <v>138400</v>
      </c>
      <c r="M29" s="30">
        <f t="shared" si="7"/>
        <v>138400</v>
      </c>
      <c r="N29" s="30">
        <f>SUM($M$26:M29)</f>
        <v>904800</v>
      </c>
      <c r="O29" s="1"/>
      <c r="P29" s="30"/>
      <c r="Q29" s="30">
        <f>$P$17*$P$10</f>
        <v>30000</v>
      </c>
      <c r="R29" s="30">
        <f t="shared" si="5"/>
        <v>30000</v>
      </c>
      <c r="S29" s="30">
        <f ca="1">SUM($R$26:R29)</f>
        <v>1323994.0511435168</v>
      </c>
      <c r="T29" s="1"/>
      <c r="U29" s="65"/>
      <c r="V29" s="64">
        <f t="shared" si="2"/>
        <v>30000</v>
      </c>
      <c r="W29" s="64">
        <f t="shared" si="6"/>
        <v>30000</v>
      </c>
      <c r="X29" s="30">
        <f>SUM($W$26:W29)</f>
        <v>824000</v>
      </c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</row>
    <row r="30" spans="1:43">
      <c r="A30" s="1" t="s">
        <v>38</v>
      </c>
      <c r="B30" s="48">
        <f t="shared" ca="1" si="3"/>
        <v>47057</v>
      </c>
      <c r="C30" s="29"/>
      <c r="D30" s="28"/>
      <c r="E30" s="30">
        <f t="shared" si="4"/>
        <v>372956.62126588065</v>
      </c>
      <c r="F30" s="30">
        <f t="shared" si="0"/>
        <v>372956.62126588065</v>
      </c>
      <c r="G30" s="30">
        <f>SUM(D$26:$E30)</f>
        <v>1864783.1063294034</v>
      </c>
      <c r="H30" s="37"/>
      <c r="I30" s="48">
        <f t="shared" ca="1" si="1"/>
        <v>47057</v>
      </c>
      <c r="J30" s="1"/>
      <c r="K30" s="28"/>
      <c r="L30" s="30">
        <f t="shared" si="8"/>
        <v>138400</v>
      </c>
      <c r="M30" s="30">
        <f t="shared" si="7"/>
        <v>138400</v>
      </c>
      <c r="N30" s="30">
        <f>SUM($M$26:M30)</f>
        <v>1043200</v>
      </c>
      <c r="O30" s="1"/>
      <c r="P30" s="30"/>
      <c r="Q30" s="30">
        <f>$P$17*$P$10</f>
        <v>30000</v>
      </c>
      <c r="R30" s="30">
        <f t="shared" si="5"/>
        <v>30000</v>
      </c>
      <c r="S30" s="30">
        <f ca="1">SUM($R$26:R30)</f>
        <v>1353994.0511435168</v>
      </c>
      <c r="T30" s="1"/>
      <c r="U30" s="65"/>
      <c r="V30" s="64">
        <f t="shared" si="2"/>
        <v>30000</v>
      </c>
      <c r="W30" s="64">
        <f t="shared" si="6"/>
        <v>30000</v>
      </c>
      <c r="X30" s="30">
        <f>SUM($W$26:W30)</f>
        <v>854000</v>
      </c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</row>
    <row r="31" spans="1:43">
      <c r="A31" s="1" t="s">
        <v>39</v>
      </c>
      <c r="B31" s="48">
        <f t="shared" ca="1" si="3"/>
        <v>47422</v>
      </c>
      <c r="C31" s="29"/>
      <c r="D31" s="28"/>
      <c r="E31" s="30">
        <f t="shared" si="4"/>
        <v>372956.62126588065</v>
      </c>
      <c r="F31" s="30">
        <f t="shared" si="0"/>
        <v>372956.62126588065</v>
      </c>
      <c r="G31" s="30">
        <f>SUM(D$26:$E31)</f>
        <v>2237739.7275952841</v>
      </c>
      <c r="H31" s="37"/>
      <c r="I31" s="48">
        <f t="shared" ca="1" si="1"/>
        <v>47422</v>
      </c>
      <c r="J31" s="1"/>
      <c r="K31" s="28"/>
      <c r="L31" s="30">
        <f t="shared" si="8"/>
        <v>138400</v>
      </c>
      <c r="M31" s="30">
        <f t="shared" si="7"/>
        <v>138400</v>
      </c>
      <c r="N31" s="30">
        <f>SUM($M$26:M31)</f>
        <v>1181600</v>
      </c>
      <c r="O31" s="1"/>
      <c r="P31" s="30"/>
      <c r="Q31" s="30">
        <f>$P$17*$P$10</f>
        <v>30000</v>
      </c>
      <c r="R31" s="30">
        <f t="shared" si="5"/>
        <v>30000</v>
      </c>
      <c r="S31" s="30">
        <f ca="1">SUM($R$26:R31)</f>
        <v>1383994.0511435168</v>
      </c>
      <c r="T31" s="1"/>
      <c r="U31" s="65"/>
      <c r="V31" s="64">
        <f t="shared" si="2"/>
        <v>30000</v>
      </c>
      <c r="W31" s="64">
        <f t="shared" si="6"/>
        <v>30000</v>
      </c>
      <c r="X31" s="30">
        <f>SUM($W$26:W31)</f>
        <v>884000</v>
      </c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</row>
    <row r="32" spans="1:43">
      <c r="A32" s="1" t="s">
        <v>40</v>
      </c>
      <c r="B32" s="48">
        <f t="shared" ca="1" si="3"/>
        <v>47787</v>
      </c>
      <c r="C32" s="29"/>
      <c r="D32" s="28"/>
      <c r="E32" s="30">
        <f t="shared" si="4"/>
        <v>372956.62126588065</v>
      </c>
      <c r="F32" s="30">
        <f t="shared" si="0"/>
        <v>372956.62126588065</v>
      </c>
      <c r="G32" s="30">
        <f>SUM(D$26:$E32)</f>
        <v>2610696.3488611649</v>
      </c>
      <c r="H32" s="37"/>
      <c r="I32" s="48">
        <f t="shared" ca="1" si="1"/>
        <v>47787</v>
      </c>
      <c r="J32" s="1"/>
      <c r="K32" s="28"/>
      <c r="L32" s="30">
        <f t="shared" si="8"/>
        <v>138400</v>
      </c>
      <c r="M32" s="30">
        <f t="shared" si="7"/>
        <v>138400</v>
      </c>
      <c r="N32" s="30">
        <f>SUM($M$26:M32)</f>
        <v>1320000</v>
      </c>
      <c r="O32" s="1"/>
      <c r="P32" s="30"/>
      <c r="Q32" s="30">
        <f>$P$17*$P$10</f>
        <v>30000</v>
      </c>
      <c r="R32" s="30">
        <f t="shared" si="5"/>
        <v>30000</v>
      </c>
      <c r="S32" s="30">
        <f ca="1">SUM($R$26:R32)</f>
        <v>1413994.0511435168</v>
      </c>
      <c r="T32" s="1"/>
      <c r="U32" s="65"/>
      <c r="V32" s="64">
        <f t="shared" si="2"/>
        <v>30000</v>
      </c>
      <c r="W32" s="64">
        <f t="shared" si="6"/>
        <v>30000</v>
      </c>
      <c r="X32" s="30">
        <f>SUM($W$26:W32)</f>
        <v>914000</v>
      </c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</row>
    <row r="33" spans="1:43">
      <c r="A33" s="1" t="s">
        <v>41</v>
      </c>
      <c r="B33" s="48">
        <f t="shared" ca="1" si="3"/>
        <v>48152</v>
      </c>
      <c r="C33" s="29"/>
      <c r="D33" s="28"/>
      <c r="E33" s="30">
        <f t="shared" si="4"/>
        <v>372956.62126588065</v>
      </c>
      <c r="F33" s="30">
        <f t="shared" si="0"/>
        <v>372956.62126588065</v>
      </c>
      <c r="G33" s="30">
        <f>SUM(D$26:$E33)</f>
        <v>2983652.9701270456</v>
      </c>
      <c r="H33" s="37"/>
      <c r="I33" s="48">
        <f t="shared" ca="1" si="1"/>
        <v>48152</v>
      </c>
      <c r="J33" s="1"/>
      <c r="K33" s="28"/>
      <c r="L33" s="30">
        <f t="shared" si="8"/>
        <v>138400</v>
      </c>
      <c r="M33" s="30">
        <f t="shared" si="7"/>
        <v>138400</v>
      </c>
      <c r="N33" s="30">
        <f>SUM($M$26:M33)</f>
        <v>1458400</v>
      </c>
      <c r="O33" s="1"/>
      <c r="P33" s="30"/>
      <c r="Q33" s="30">
        <f t="shared" ref="Q33:Q35" si="9">$P$17*$P$10</f>
        <v>30000</v>
      </c>
      <c r="R33" s="30">
        <f t="shared" si="5"/>
        <v>30000</v>
      </c>
      <c r="S33" s="30">
        <f ca="1">SUM($R$26:R33)</f>
        <v>1443994.0511435168</v>
      </c>
      <c r="T33" s="1"/>
      <c r="U33" s="65"/>
      <c r="V33" s="64">
        <f t="shared" ref="V33:V35" si="10">$U$17*$U$10</f>
        <v>30000</v>
      </c>
      <c r="W33" s="64">
        <f t="shared" si="6"/>
        <v>30000</v>
      </c>
      <c r="X33" s="30">
        <f>SUM($W$26:W33)</f>
        <v>944000</v>
      </c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</row>
    <row r="34" spans="1:43">
      <c r="A34" s="1" t="s">
        <v>42</v>
      </c>
      <c r="B34" s="48">
        <f t="shared" ca="1" si="3"/>
        <v>48518</v>
      </c>
      <c r="C34" s="29"/>
      <c r="D34" s="28"/>
      <c r="E34" s="30">
        <f t="shared" si="4"/>
        <v>372956.62126588065</v>
      </c>
      <c r="F34" s="30">
        <f t="shared" si="0"/>
        <v>372956.62126588065</v>
      </c>
      <c r="G34" s="30">
        <f>SUM(D$26:$E34)</f>
        <v>3356609.5913929264</v>
      </c>
      <c r="H34" s="37"/>
      <c r="I34" s="48">
        <f t="shared" ca="1" si="1"/>
        <v>48518</v>
      </c>
      <c r="J34" s="1"/>
      <c r="K34" s="28"/>
      <c r="L34" s="30">
        <f t="shared" si="8"/>
        <v>138400</v>
      </c>
      <c r="M34" s="30">
        <f t="shared" si="7"/>
        <v>138400</v>
      </c>
      <c r="N34" s="30">
        <f>SUM($M$26:M34)</f>
        <v>1596800</v>
      </c>
      <c r="O34" s="1"/>
      <c r="P34" s="30"/>
      <c r="Q34" s="30">
        <f t="shared" si="9"/>
        <v>30000</v>
      </c>
      <c r="R34" s="30">
        <f t="shared" si="5"/>
        <v>30000</v>
      </c>
      <c r="S34" s="30">
        <f ca="1">SUM($R$26:R34)</f>
        <v>1473994.0511435168</v>
      </c>
      <c r="T34" s="1"/>
      <c r="U34" s="65"/>
      <c r="V34" s="64">
        <f t="shared" si="10"/>
        <v>30000</v>
      </c>
      <c r="W34" s="64">
        <f t="shared" si="6"/>
        <v>30000</v>
      </c>
      <c r="X34" s="30">
        <f>SUM($W$26:W34)</f>
        <v>974000</v>
      </c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  <row r="35" spans="1:43">
      <c r="A35" s="1" t="s">
        <v>43</v>
      </c>
      <c r="B35" s="48">
        <f t="shared" ca="1" si="3"/>
        <v>48883</v>
      </c>
      <c r="C35" s="29"/>
      <c r="D35" s="28"/>
      <c r="E35" s="30">
        <f t="shared" si="4"/>
        <v>372956.62126588065</v>
      </c>
      <c r="F35" s="30">
        <f t="shared" si="0"/>
        <v>372956.62126588065</v>
      </c>
      <c r="G35" s="30">
        <f>SUM(D$26:$E35)</f>
        <v>3729566.2126588072</v>
      </c>
      <c r="H35" s="37"/>
      <c r="I35" s="48">
        <f t="shared" ca="1" si="1"/>
        <v>48883</v>
      </c>
      <c r="J35" s="1"/>
      <c r="K35" s="28"/>
      <c r="L35" s="30">
        <f t="shared" si="8"/>
        <v>138400</v>
      </c>
      <c r="M35" s="30">
        <f t="shared" si="7"/>
        <v>138400</v>
      </c>
      <c r="N35" s="30">
        <f>SUM($M$26:M35)</f>
        <v>1735200</v>
      </c>
      <c r="O35" s="1"/>
      <c r="P35" s="30"/>
      <c r="Q35" s="30">
        <f t="shared" si="9"/>
        <v>30000</v>
      </c>
      <c r="R35" s="30">
        <f t="shared" si="5"/>
        <v>30000</v>
      </c>
      <c r="S35" s="30">
        <f ca="1">SUM($R$26:R35)</f>
        <v>1503994.0511435168</v>
      </c>
      <c r="T35" s="1"/>
      <c r="U35" s="65"/>
      <c r="V35" s="64">
        <f t="shared" si="10"/>
        <v>30000</v>
      </c>
      <c r="W35" s="64">
        <f t="shared" si="6"/>
        <v>30000</v>
      </c>
      <c r="X35" s="30">
        <f>SUM($W$26:W35)</f>
        <v>1004000</v>
      </c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</row>
    <row r="36" spans="1:43">
      <c r="A36" s="1"/>
      <c r="B36" s="1"/>
      <c r="C36" s="1"/>
      <c r="D36" s="1"/>
      <c r="E36" s="1"/>
      <c r="F36" s="1"/>
      <c r="G36" s="1"/>
      <c r="H36" s="1"/>
      <c r="I36" s="1"/>
      <c r="J36" s="1"/>
      <c r="K36" s="33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</row>
    <row r="37" spans="1:43" ht="15.75" thickBot="1">
      <c r="A37" s="1"/>
      <c r="B37" s="34" t="s">
        <v>44</v>
      </c>
      <c r="C37" s="1"/>
      <c r="D37" s="39"/>
      <c r="E37" s="39"/>
      <c r="F37" s="39"/>
      <c r="G37" s="39"/>
      <c r="H37" s="1"/>
      <c r="I37" s="34" t="s">
        <v>44</v>
      </c>
      <c r="J37" s="1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</row>
    <row r="38" spans="1:43" ht="16.5" thickTop="1" thickBot="1">
      <c r="A38" s="1"/>
      <c r="B38" s="21" t="s">
        <v>45</v>
      </c>
      <c r="C38" s="1"/>
      <c r="D38" s="42">
        <f ca="1">XNPV(10%,F26:F35,$B$26:$B$35)</f>
        <v>2507001.3664372019</v>
      </c>
      <c r="E38" s="42"/>
      <c r="F38" s="42"/>
      <c r="G38" s="42"/>
      <c r="H38" s="1"/>
      <c r="I38" s="21" t="s">
        <v>45</v>
      </c>
      <c r="J38" s="1"/>
      <c r="K38" s="74">
        <f ca="1">XNPV(10%,M26:M35,$I$26:$I$35)</f>
        <v>1279047.2942038411</v>
      </c>
      <c r="L38" s="73"/>
      <c r="M38" s="73"/>
      <c r="N38" s="73"/>
      <c r="O38" s="1"/>
      <c r="P38" s="74">
        <f ca="1">XNPV(10%,R26:R35,$I$26:$I$35)</f>
        <v>1279047.2942038414</v>
      </c>
      <c r="Q38" s="74"/>
      <c r="R38" s="74"/>
      <c r="S38" s="74"/>
      <c r="T38" s="1"/>
      <c r="U38" s="75">
        <f ca="1">XNPV(10%,W26:W35,$I$26:$I$35)</f>
        <v>905658.95094673429</v>
      </c>
      <c r="V38" s="84"/>
      <c r="W38" s="84"/>
      <c r="X38" s="84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</row>
    <row r="39" spans="1:43" ht="16.5" thickTop="1" thickBot="1">
      <c r="A39" s="1"/>
      <c r="B39" s="21" t="s">
        <v>46</v>
      </c>
      <c r="D39" s="42">
        <f>F35</f>
        <v>372956.62126588065</v>
      </c>
      <c r="E39" s="42"/>
      <c r="F39" s="42"/>
      <c r="G39" s="42"/>
      <c r="H39" s="1"/>
      <c r="I39" s="21" t="s">
        <v>46</v>
      </c>
      <c r="K39" s="74">
        <f>M35</f>
        <v>138400</v>
      </c>
      <c r="L39" s="73"/>
      <c r="M39" s="73"/>
      <c r="N39" s="73"/>
      <c r="P39" s="74">
        <f>R35+U26/8</f>
        <v>118000</v>
      </c>
      <c r="Q39" s="74"/>
      <c r="R39" s="74"/>
      <c r="S39" s="74"/>
      <c r="U39" s="75">
        <f>W35+U26/8</f>
        <v>118000</v>
      </c>
      <c r="V39" s="84"/>
      <c r="W39" s="84"/>
      <c r="X39" s="84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</row>
    <row r="40" spans="1:43" ht="16.5" thickTop="1" thickBot="1">
      <c r="A40" s="1"/>
      <c r="B40" s="1"/>
      <c r="C40" s="1"/>
      <c r="D40" s="1"/>
      <c r="E40" s="1"/>
      <c r="F40" s="1"/>
      <c r="G40" s="1"/>
      <c r="H40" s="1"/>
      <c r="I40" s="21" t="s">
        <v>47</v>
      </c>
      <c r="K40" s="77">
        <f>$D$39-K39</f>
        <v>234556.62126588065</v>
      </c>
      <c r="L40" s="72"/>
      <c r="M40" s="72"/>
      <c r="N40" s="72"/>
      <c r="P40" s="77">
        <f>$D$39-P39</f>
        <v>254956.62126588065</v>
      </c>
      <c r="Q40" s="77"/>
      <c r="R40" s="77"/>
      <c r="S40" s="77"/>
      <c r="U40" s="91">
        <f>$D$39-U39</f>
        <v>254956.62126588065</v>
      </c>
      <c r="V40" s="87"/>
      <c r="W40" s="87"/>
      <c r="X40" s="87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</row>
    <row r="41" spans="1:43" ht="16.5" thickTop="1" thickBot="1">
      <c r="A41" s="1"/>
      <c r="B41" s="1"/>
      <c r="C41" s="1"/>
      <c r="D41" s="1"/>
      <c r="E41" s="1"/>
      <c r="F41" s="1"/>
      <c r="G41" s="1"/>
      <c r="H41" s="1"/>
      <c r="I41" s="21" t="s">
        <v>48</v>
      </c>
      <c r="J41" s="1"/>
      <c r="K41" s="78" t="s">
        <v>49</v>
      </c>
      <c r="L41" s="71"/>
      <c r="M41" s="71"/>
      <c r="N41" s="71"/>
      <c r="O41" s="1"/>
      <c r="P41" s="88" t="str">
        <f ca="1">ROUND((P28+SUM(R26:R27)-G27)/(E28-Q28),2)&amp;" yrs *"</f>
        <v>1.51 yrs *</v>
      </c>
      <c r="Q41" s="88"/>
      <c r="R41" s="88"/>
      <c r="S41" s="88"/>
      <c r="T41" s="69"/>
      <c r="U41" s="92">
        <f>(U26)/($E$26-V26)</f>
        <v>2.052737741004909</v>
      </c>
      <c r="V41" s="86"/>
      <c r="W41" s="86"/>
      <c r="X41" s="86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</row>
    <row r="42" spans="1:43" ht="16.5" thickTop="1" thickBot="1">
      <c r="A42" s="1"/>
      <c r="B42" s="1"/>
      <c r="C42" s="1"/>
      <c r="D42" s="1"/>
      <c r="E42" s="1"/>
      <c r="F42" s="1"/>
      <c r="G42" s="1"/>
      <c r="H42" s="1"/>
      <c r="I42" s="21" t="s">
        <v>50</v>
      </c>
      <c r="J42" s="24"/>
      <c r="K42" s="78" t="s">
        <v>49</v>
      </c>
      <c r="L42" s="71"/>
      <c r="M42" s="71"/>
      <c r="N42" s="71"/>
      <c r="O42" s="1"/>
      <c r="P42" s="89">
        <f ca="1">(SUM($F$26:$F$35)-SUM(R26:R35))/P28</f>
        <v>3.4993600294117742</v>
      </c>
      <c r="Q42" s="89"/>
      <c r="R42" s="89"/>
      <c r="S42" s="89"/>
      <c r="T42" s="1"/>
      <c r="U42" s="93">
        <f>(SUM($F$26:$F$35)-SUM(W26:W35))/U26</f>
        <v>3.8715429157085328</v>
      </c>
      <c r="V42" s="85"/>
      <c r="W42" s="85"/>
      <c r="X42" s="85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</row>
    <row r="43" spans="1:43" ht="15.75" thickTop="1">
      <c r="A43" s="1"/>
      <c r="B43" s="1"/>
      <c r="C43" s="1"/>
      <c r="D43" s="1"/>
      <c r="E43" s="1"/>
      <c r="F43" s="1"/>
      <c r="G43" s="1"/>
      <c r="H43" s="1"/>
      <c r="I43" s="31" t="s">
        <v>51</v>
      </c>
      <c r="J43" s="32"/>
      <c r="K43" s="79" t="s">
        <v>52</v>
      </c>
      <c r="L43" s="26"/>
      <c r="M43" s="26"/>
      <c r="N43" s="26"/>
      <c r="O43" s="1"/>
      <c r="P43" s="79" t="s">
        <v>52</v>
      </c>
      <c r="Q43" s="79"/>
      <c r="R43" s="79"/>
      <c r="S43" s="79"/>
      <c r="T43" s="1"/>
      <c r="U43" s="94" t="s">
        <v>52</v>
      </c>
      <c r="V43" s="60"/>
      <c r="W43" s="60"/>
      <c r="X43" s="60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</row>
    <row r="44" spans="1:43">
      <c r="A44" s="1"/>
      <c r="B44" s="1"/>
      <c r="C44" s="1"/>
      <c r="D44" s="1"/>
      <c r="E44" s="1"/>
      <c r="F44" s="1"/>
      <c r="G44" s="1"/>
      <c r="H44" s="1"/>
      <c r="I44" s="32"/>
      <c r="J44" s="32"/>
      <c r="K44" s="79" t="s">
        <v>53</v>
      </c>
      <c r="L44" s="26"/>
      <c r="M44" s="26"/>
      <c r="N44" s="26"/>
      <c r="O44" s="1"/>
      <c r="P44" s="79" t="s">
        <v>53</v>
      </c>
      <c r="Q44" s="79"/>
      <c r="R44" s="79"/>
      <c r="S44" s="79"/>
      <c r="T44" s="1"/>
      <c r="U44" s="94" t="s">
        <v>53</v>
      </c>
      <c r="V44" s="60"/>
      <c r="W44" s="60"/>
      <c r="X44" s="60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</row>
    <row r="45" spans="1:43">
      <c r="A45" s="1"/>
      <c r="B45" s="1"/>
      <c r="C45" s="1"/>
      <c r="D45" s="1"/>
      <c r="E45" s="1"/>
      <c r="F45" s="1"/>
      <c r="G45" s="1"/>
      <c r="H45" s="1"/>
      <c r="I45" s="32"/>
      <c r="J45" s="32"/>
      <c r="K45" s="79" t="s">
        <v>54</v>
      </c>
      <c r="L45" s="26"/>
      <c r="M45" s="26"/>
      <c r="N45" s="26"/>
      <c r="O45" s="1"/>
      <c r="P45" s="79" t="s">
        <v>54</v>
      </c>
      <c r="Q45" s="79"/>
      <c r="R45" s="79"/>
      <c r="S45" s="79"/>
      <c r="T45" s="1"/>
      <c r="U45" s="94" t="s">
        <v>54</v>
      </c>
      <c r="V45" s="60"/>
      <c r="W45" s="60"/>
      <c r="X45" s="60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</row>
    <row r="46" spans="1:43">
      <c r="A46" s="1"/>
      <c r="B46" s="1"/>
      <c r="C46" s="1"/>
      <c r="D46" s="1"/>
      <c r="E46" s="1"/>
      <c r="F46" s="1"/>
      <c r="G46" s="1"/>
      <c r="H46" s="1"/>
      <c r="I46" s="32"/>
      <c r="J46" s="32"/>
      <c r="K46" s="79" t="s">
        <v>55</v>
      </c>
      <c r="L46" s="26"/>
      <c r="M46" s="26"/>
      <c r="N46" s="26"/>
      <c r="O46" s="1"/>
      <c r="P46" s="79" t="s">
        <v>55</v>
      </c>
      <c r="Q46" s="79"/>
      <c r="R46" s="79"/>
      <c r="S46" s="79"/>
      <c r="T46" s="1"/>
      <c r="U46" s="94" t="s">
        <v>55</v>
      </c>
      <c r="V46" s="60"/>
      <c r="W46" s="60"/>
      <c r="X46" s="60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</row>
    <row r="47" spans="1:43" ht="15.75" thickBot="1">
      <c r="A47" s="1"/>
      <c r="C47" s="1"/>
      <c r="D47" s="1"/>
      <c r="E47" s="1"/>
      <c r="F47" s="1"/>
      <c r="G47" s="1"/>
      <c r="H47" s="1"/>
      <c r="I47" s="32"/>
      <c r="J47" s="1"/>
      <c r="K47" s="79" t="s">
        <v>56</v>
      </c>
      <c r="L47" s="26"/>
      <c r="M47" s="26"/>
      <c r="N47" s="26"/>
      <c r="O47" s="1"/>
      <c r="P47" s="79" t="s">
        <v>56</v>
      </c>
      <c r="Q47" s="79"/>
      <c r="R47" s="79"/>
      <c r="S47" s="79"/>
      <c r="T47" s="1"/>
      <c r="U47" s="95" t="s">
        <v>56</v>
      </c>
      <c r="V47" s="61"/>
      <c r="W47" s="61"/>
      <c r="X47" s="6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</row>
    <row r="48" spans="1:43" ht="15" customHeight="1" thickTop="1" thickBot="1">
      <c r="A48" s="1"/>
      <c r="B48" s="49" t="s">
        <v>57</v>
      </c>
      <c r="C48" s="1"/>
      <c r="D48" s="1"/>
      <c r="E48" s="1"/>
      <c r="F48" s="1"/>
      <c r="G48" s="1"/>
      <c r="H48" s="1"/>
      <c r="J48" s="1"/>
      <c r="K48" s="80" t="s">
        <v>58</v>
      </c>
      <c r="L48" s="25"/>
      <c r="M48" s="25"/>
      <c r="N48" s="68"/>
      <c r="O48" s="1"/>
      <c r="P48" s="80" t="s">
        <v>59</v>
      </c>
      <c r="Q48" s="90"/>
      <c r="R48" s="90"/>
      <c r="S48" s="80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</row>
    <row r="49" spans="1:43" ht="15.75" thickTop="1">
      <c r="A49" s="1"/>
      <c r="B49" s="1"/>
      <c r="C49" s="1"/>
      <c r="D49" s="1"/>
      <c r="E49" s="1"/>
      <c r="F49" s="1"/>
      <c r="G49" s="1"/>
      <c r="H49" s="1"/>
      <c r="I49" s="67" t="s">
        <v>60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</row>
    <row r="50" spans="1:43">
      <c r="A50" s="1"/>
      <c r="B50" s="1"/>
      <c r="C50" s="1"/>
      <c r="D50" s="1"/>
      <c r="E50" s="1"/>
      <c r="F50" s="1"/>
      <c r="G50" s="1"/>
      <c r="H50" s="1"/>
      <c r="I50" s="58"/>
      <c r="J50" s="1"/>
      <c r="K50" s="1"/>
      <c r="L50" s="1"/>
      <c r="M50" s="1"/>
      <c r="N50" s="1"/>
      <c r="O50" s="1"/>
      <c r="P50" s="1" t="s">
        <v>61</v>
      </c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</row>
    <row r="51" spans="1:43">
      <c r="A51" s="1"/>
      <c r="B51" s="1"/>
      <c r="C51" s="1"/>
      <c r="D51" s="1"/>
      <c r="E51" s="1"/>
      <c r="F51" s="1"/>
      <c r="G51" s="1"/>
      <c r="H51" s="1"/>
      <c r="I51" s="58"/>
      <c r="J51" s="1"/>
      <c r="K51" s="1"/>
      <c r="L51" s="1"/>
      <c r="M51" s="1"/>
      <c r="N51" s="1"/>
      <c r="O51" s="1"/>
      <c r="P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</row>
    <row r="52" spans="1:43" ht="14.85" customHeight="1">
      <c r="A52" s="1"/>
      <c r="B52" s="1"/>
      <c r="C52" s="1"/>
      <c r="D52" s="1"/>
      <c r="E52" s="1"/>
      <c r="F52" s="1"/>
      <c r="G52" s="1"/>
      <c r="H52" s="1"/>
      <c r="I52" s="58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</row>
    <row r="53" spans="1:4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</row>
    <row r="54" spans="1:43">
      <c r="A54" s="1"/>
      <c r="B54" s="1"/>
      <c r="C54" s="1"/>
      <c r="D54" s="1"/>
      <c r="E54" s="1"/>
      <c r="F54" s="1"/>
      <c r="G54" s="1"/>
      <c r="H54" s="97">
        <f ca="1">D38-U38</f>
        <v>1601342.4154904676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</row>
    <row r="55" spans="1:4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 spans="1:43">
      <c r="A56" s="1"/>
      <c r="B56" s="1"/>
      <c r="C56" s="1"/>
      <c r="D56" s="1"/>
      <c r="E56" s="1"/>
      <c r="F56" s="1"/>
      <c r="G56" s="1"/>
      <c r="H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</row>
    <row r="57" spans="1:4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</row>
    <row r="58" spans="1:4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</row>
    <row r="59" spans="1:4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</row>
    <row r="60" spans="1:4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</row>
    <row r="61" spans="1:4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</row>
    <row r="62" spans="1:4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</row>
    <row r="63" spans="1:4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</row>
    <row r="64" spans="1:4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</row>
    <row r="65" spans="1:4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</row>
    <row r="66" spans="1:4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</row>
    <row r="67" spans="1:4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</row>
    <row r="68" spans="1:4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</row>
    <row r="69" spans="1:4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</row>
    <row r="70" spans="1:4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</row>
    <row r="71" spans="1:4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</row>
    <row r="72" spans="1:4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</row>
    <row r="73" spans="1:4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</row>
    <row r="74" spans="1:4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</row>
    <row r="75" spans="1:4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</row>
    <row r="76" spans="1:4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</row>
    <row r="77" spans="1:4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</row>
    <row r="78" spans="1:4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</row>
    <row r="79" spans="1:4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</row>
    <row r="80" spans="1:4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</row>
    <row r="81" spans="1:4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</row>
    <row r="82" spans="1:4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</row>
    <row r="83" spans="1:4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</row>
    <row r="84" spans="1:4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</row>
    <row r="85" spans="1:4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4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4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4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4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4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4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4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4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4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4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4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9B312-EEC4-41AE-969B-85D2098CA6B9}">
  <dimension ref="A1:AG50"/>
  <sheetViews>
    <sheetView zoomScale="55" zoomScaleNormal="55" workbookViewId="0">
      <selection activeCell="D40" sqref="D40"/>
    </sheetView>
  </sheetViews>
  <sheetFormatPr defaultColWidth="8.85546875" defaultRowHeight="14.25" customHeight="1"/>
  <cols>
    <col min="1" max="1" width="1.7109375" style="98" bestFit="1" customWidth="1"/>
    <col min="2" max="2" width="56.28515625" style="98" customWidth="1"/>
    <col min="3" max="3" width="19.7109375" style="98" bestFit="1" customWidth="1"/>
    <col min="4" max="5" width="19.7109375" style="98" customWidth="1"/>
    <col min="6" max="6" width="2.28515625" style="98" bestFit="1" customWidth="1"/>
    <col min="7" max="9" width="19.7109375" style="98" customWidth="1"/>
    <col min="10" max="10" width="2.28515625" style="98" bestFit="1" customWidth="1"/>
    <col min="11" max="13" width="19.7109375" style="98" customWidth="1"/>
    <col min="14" max="14" width="22.85546875" style="98" bestFit="1" customWidth="1"/>
    <col min="15" max="15" width="15.7109375" style="98" bestFit="1" customWidth="1"/>
    <col min="16" max="16" width="13.28515625" style="98" customWidth="1"/>
    <col min="17" max="23" width="11.85546875" style="98" customWidth="1"/>
    <col min="24" max="24" width="3.28515625" style="98" customWidth="1"/>
    <col min="25" max="28" width="11.85546875" style="98" customWidth="1"/>
    <col min="29" max="29" width="1.140625" style="98" customWidth="1"/>
    <col min="30" max="30" width="16.28515625" style="98" customWidth="1"/>
    <col min="31" max="16384" width="8.85546875" style="98"/>
  </cols>
  <sheetData>
    <row r="1" spans="1:32" ht="14.25" customHeight="1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</row>
    <row r="2" spans="1:32" ht="46.5">
      <c r="A2" s="100"/>
      <c r="B2" s="121" t="s">
        <v>70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</row>
    <row r="3" spans="1:32" ht="14.25" customHeight="1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</row>
    <row r="4" spans="1:32" ht="14.25" customHeight="1">
      <c r="A4" s="100"/>
      <c r="B4" s="127" t="s">
        <v>71</v>
      </c>
      <c r="C4" s="127"/>
      <c r="D4" s="127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</row>
    <row r="5" spans="1:32" ht="14.25" customHeight="1">
      <c r="A5" s="100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</row>
    <row r="6" spans="1:32" ht="14.25" customHeight="1">
      <c r="A6" s="100"/>
      <c r="B6" s="100" t="s">
        <v>72</v>
      </c>
      <c r="C6" s="120">
        <f>600*12</f>
        <v>7200</v>
      </c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</row>
    <row r="7" spans="1:32" ht="14.25" customHeight="1">
      <c r="A7" s="100"/>
      <c r="B7" s="100" t="s">
        <v>73</v>
      </c>
      <c r="C7" s="119">
        <f>(115+200)/2</f>
        <v>157.5</v>
      </c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</row>
    <row r="8" spans="1:32" ht="14.25" customHeight="1">
      <c r="A8" s="100"/>
      <c r="B8" s="100" t="s">
        <v>74</v>
      </c>
      <c r="C8" s="119">
        <v>60</v>
      </c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</row>
    <row r="9" spans="1:32" ht="14.25" customHeight="1">
      <c r="A9" s="100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</row>
    <row r="10" spans="1:32" ht="15.75" thickBot="1">
      <c r="A10" s="100"/>
      <c r="B10" s="118" t="s">
        <v>75</v>
      </c>
      <c r="C10" s="118"/>
      <c r="D10" s="118"/>
      <c r="E10" s="118"/>
      <c r="F10" s="100"/>
      <c r="G10" s="118" t="s">
        <v>76</v>
      </c>
      <c r="H10" s="118"/>
      <c r="I10" s="122"/>
      <c r="J10" s="100"/>
      <c r="K10" s="118" t="s">
        <v>77</v>
      </c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</row>
    <row r="11" spans="1:32" ht="43.5" customHeight="1" thickTop="1">
      <c r="A11" s="100" t="s">
        <v>2</v>
      </c>
      <c r="B11" s="117" t="s">
        <v>78</v>
      </c>
      <c r="C11" s="117" t="s">
        <v>79</v>
      </c>
      <c r="D11" s="117" t="s">
        <v>80</v>
      </c>
      <c r="E11" s="117" t="s">
        <v>81</v>
      </c>
      <c r="F11" s="100" t="s">
        <v>2</v>
      </c>
      <c r="G11" s="117" t="s">
        <v>82</v>
      </c>
      <c r="H11" s="117" t="s">
        <v>83</v>
      </c>
      <c r="I11" s="117" t="s">
        <v>84</v>
      </c>
      <c r="J11" s="100" t="s">
        <v>2</v>
      </c>
      <c r="K11" s="117" t="s">
        <v>85</v>
      </c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</row>
    <row r="12" spans="1:32" ht="15">
      <c r="A12" s="100"/>
      <c r="B12" s="116"/>
      <c r="C12" s="116" t="s">
        <v>86</v>
      </c>
      <c r="D12" s="116" t="s">
        <v>87</v>
      </c>
      <c r="E12" s="116" t="s">
        <v>88</v>
      </c>
      <c r="F12" s="100"/>
      <c r="G12" s="116" t="s">
        <v>88</v>
      </c>
      <c r="H12" s="116" t="s">
        <v>89</v>
      </c>
      <c r="I12" s="117" t="s">
        <v>89</v>
      </c>
      <c r="J12" s="100"/>
      <c r="K12" s="116" t="s">
        <v>90</v>
      </c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</row>
    <row r="13" spans="1:32" ht="14.25" customHeight="1">
      <c r="A13" s="100"/>
      <c r="B13" t="s">
        <v>91</v>
      </c>
      <c r="C13" s="113">
        <v>615</v>
      </c>
      <c r="D13" s="115">
        <f t="shared" ref="D13:D21" si="0">E13*$C$6</f>
        <v>403.79993132654221</v>
      </c>
      <c r="E13" s="111">
        <v>5.6083323795353086E-2</v>
      </c>
      <c r="F13" s="108"/>
      <c r="G13" s="111">
        <v>0.95</v>
      </c>
      <c r="H13" s="123">
        <f t="shared" ref="H13:H21" si="1">G13*D13</f>
        <v>383.60993476021508</v>
      </c>
      <c r="I13" s="123">
        <f>D13-H13</f>
        <v>20.189996566327125</v>
      </c>
      <c r="J13" s="100"/>
      <c r="K13" s="114">
        <f t="shared" ref="K13:K21" si="2">H13*C13</f>
        <v>235920.10987753229</v>
      </c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</row>
    <row r="14" spans="1:32" ht="14.25" customHeight="1">
      <c r="A14" s="100"/>
      <c r="B14" t="s">
        <v>92</v>
      </c>
      <c r="C14" s="113">
        <v>450</v>
      </c>
      <c r="D14" s="112">
        <f>E14*$C$6</f>
        <v>2225.0200297584979</v>
      </c>
      <c r="E14" s="111">
        <v>0.30903055968868026</v>
      </c>
      <c r="F14" s="108"/>
      <c r="G14" s="111">
        <v>0.85</v>
      </c>
      <c r="H14" s="123">
        <f>G14*D14</f>
        <v>1891.2670252947232</v>
      </c>
      <c r="I14" s="123">
        <f>D14-H14</f>
        <v>333.75300446377469</v>
      </c>
      <c r="J14" s="100"/>
      <c r="K14" s="114">
        <f>H14*C14</f>
        <v>851070.16138262546</v>
      </c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</row>
    <row r="15" spans="1:32" ht="14.25" customHeight="1">
      <c r="A15" s="100"/>
      <c r="B15" t="s">
        <v>93</v>
      </c>
      <c r="C15" s="114"/>
      <c r="D15" s="112">
        <f t="shared" si="0"/>
        <v>1376.2160924802558</v>
      </c>
      <c r="E15" s="111">
        <v>0.1911411239555911</v>
      </c>
      <c r="F15" s="108"/>
      <c r="G15" s="111">
        <v>0</v>
      </c>
      <c r="H15" s="123">
        <f t="shared" si="1"/>
        <v>0</v>
      </c>
      <c r="I15" s="123">
        <f t="shared" ref="I15:I21" si="3">D15-H15</f>
        <v>1376.2160924802558</v>
      </c>
      <c r="J15" s="100"/>
      <c r="K15" s="114">
        <f t="shared" si="2"/>
        <v>0</v>
      </c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</row>
    <row r="16" spans="1:32" ht="14.25" customHeight="1">
      <c r="A16" s="100"/>
      <c r="B16" t="s">
        <v>94</v>
      </c>
      <c r="C16" s="114"/>
      <c r="D16" s="112">
        <f t="shared" si="0"/>
        <v>288.42852237610151</v>
      </c>
      <c r="E16" s="111">
        <v>4.0059516996680769E-2</v>
      </c>
      <c r="F16" s="108"/>
      <c r="G16" s="111">
        <v>0</v>
      </c>
      <c r="H16" s="123">
        <f t="shared" si="1"/>
        <v>0</v>
      </c>
      <c r="I16" s="123">
        <f t="shared" si="3"/>
        <v>288.42852237610151</v>
      </c>
      <c r="J16" s="100"/>
      <c r="K16" s="114">
        <f t="shared" si="2"/>
        <v>0</v>
      </c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</row>
    <row r="17" spans="1:33" ht="14.25" customHeight="1">
      <c r="A17" s="100"/>
      <c r="B17" t="s">
        <v>95</v>
      </c>
      <c r="C17" s="114"/>
      <c r="D17" s="112">
        <f t="shared" si="0"/>
        <v>580.15337072221564</v>
      </c>
      <c r="E17" s="111">
        <v>8.0576857044752176E-2</v>
      </c>
      <c r="F17" s="108"/>
      <c r="G17" s="111">
        <v>0</v>
      </c>
      <c r="H17" s="123">
        <f t="shared" si="1"/>
        <v>0</v>
      </c>
      <c r="I17" s="123">
        <f t="shared" si="3"/>
        <v>580.15337072221564</v>
      </c>
      <c r="J17" s="100"/>
      <c r="K17" s="114">
        <f t="shared" si="2"/>
        <v>0</v>
      </c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</row>
    <row r="18" spans="1:33" ht="14.25" customHeight="1">
      <c r="A18" s="100"/>
      <c r="B18" t="s">
        <v>96</v>
      </c>
      <c r="C18" s="114"/>
      <c r="D18" s="112">
        <f t="shared" si="0"/>
        <v>585.09785967723451</v>
      </c>
      <c r="E18" s="111">
        <v>8.1263591621838133E-2</v>
      </c>
      <c r="F18" s="108"/>
      <c r="G18" s="111">
        <v>0</v>
      </c>
      <c r="H18" s="123">
        <f t="shared" si="1"/>
        <v>0</v>
      </c>
      <c r="I18" s="123">
        <f t="shared" si="3"/>
        <v>585.09785967723451</v>
      </c>
      <c r="J18" s="100"/>
      <c r="K18" s="114">
        <f t="shared" si="2"/>
        <v>0</v>
      </c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</row>
    <row r="19" spans="1:33" ht="14.25" customHeight="1">
      <c r="A19" s="100"/>
      <c r="B19" t="s">
        <v>97</v>
      </c>
      <c r="C19" s="114"/>
      <c r="D19" s="112"/>
      <c r="E19" s="111">
        <v>2.6210369692113992E-2</v>
      </c>
      <c r="F19" s="108"/>
      <c r="G19" s="111"/>
      <c r="H19" s="123"/>
      <c r="I19" s="123"/>
      <c r="J19" s="100"/>
      <c r="K19" s="114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</row>
    <row r="20" spans="1:33" ht="14.25" customHeight="1">
      <c r="A20" s="100"/>
      <c r="B20" t="s">
        <v>98</v>
      </c>
      <c r="C20" s="114"/>
      <c r="D20" s="112"/>
      <c r="E20" s="111">
        <v>0.15108160695891035</v>
      </c>
      <c r="F20" s="108"/>
      <c r="G20" s="111"/>
      <c r="H20" s="123"/>
      <c r="I20" s="123"/>
      <c r="J20" s="100"/>
      <c r="K20" s="114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</row>
    <row r="21" spans="1:33" ht="14.25" customHeight="1" thickBot="1">
      <c r="A21" s="100"/>
      <c r="B21" t="s">
        <v>99</v>
      </c>
      <c r="C21" s="114"/>
      <c r="D21" s="112">
        <f t="shared" si="0"/>
        <v>464.78196177177512</v>
      </c>
      <c r="E21" s="111">
        <v>6.4553050246079879E-2</v>
      </c>
      <c r="F21" s="108"/>
      <c r="G21" s="111">
        <v>0</v>
      </c>
      <c r="H21" s="123">
        <f t="shared" si="1"/>
        <v>0</v>
      </c>
      <c r="I21" s="123">
        <f t="shared" si="3"/>
        <v>464.78196177177512</v>
      </c>
      <c r="J21" s="100"/>
      <c r="K21" s="114">
        <f t="shared" si="2"/>
        <v>0</v>
      </c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</row>
    <row r="22" spans="1:33" ht="14.25" customHeight="1" thickBot="1">
      <c r="A22" s="100"/>
      <c r="B22" s="110"/>
      <c r="C22" s="107"/>
      <c r="D22" s="110">
        <f>SUM(D13:D21)</f>
        <v>5923.4977681126229</v>
      </c>
      <c r="E22" s="109">
        <f>SUM(E13:E21)</f>
        <v>0.99999999999999978</v>
      </c>
      <c r="F22" s="108"/>
      <c r="G22" s="107"/>
      <c r="H22" s="110">
        <f>SUM(H13:H21)</f>
        <v>2274.8769600549385</v>
      </c>
      <c r="I22" s="110">
        <f>SUM(I13:I21)</f>
        <v>3648.6208080576844</v>
      </c>
      <c r="J22" s="100"/>
      <c r="K22" s="124">
        <f>SUM(K13:K21)</f>
        <v>1086990.2712601577</v>
      </c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</row>
    <row r="23" spans="1:33" ht="14.25" customHeight="1" thickBot="1">
      <c r="A23" s="100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</row>
    <row r="24" spans="1:33" ht="14.25" customHeight="1" thickBot="1">
      <c r="A24" s="100"/>
      <c r="B24" s="100" t="s">
        <v>100</v>
      </c>
      <c r="C24" s="125">
        <f>C7*D22</f>
        <v>932950.89847773814</v>
      </c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2"/>
    </row>
    <row r="25" spans="1:33" ht="14.25" customHeight="1" thickBot="1">
      <c r="A25" s="100"/>
      <c r="B25" s="100" t="s">
        <v>101</v>
      </c>
      <c r="C25" s="125">
        <f>C8*I22+K22</f>
        <v>1305907.5197436188</v>
      </c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</row>
    <row r="26" spans="1:33" ht="14.25" customHeight="1" thickBot="1">
      <c r="A26" s="100"/>
      <c r="B26" s="100" t="s">
        <v>102</v>
      </c>
      <c r="C26" s="106">
        <f>C25-C24</f>
        <v>372956.62126588065</v>
      </c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</row>
    <row r="27" spans="1:33" ht="14.25" customHeight="1">
      <c r="A27" s="100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</row>
    <row r="28" spans="1:33" ht="14.25" customHeight="1">
      <c r="A28" s="100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</row>
    <row r="29" spans="1:33" ht="14.25" customHeight="1">
      <c r="A29" s="100"/>
      <c r="B29" s="16" t="s">
        <v>103</v>
      </c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</row>
    <row r="30" spans="1:33" ht="14.25" customHeight="1">
      <c r="A30" s="100"/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5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</row>
    <row r="31" spans="1:33" ht="14.25" customHeight="1">
      <c r="A31" s="100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</row>
    <row r="32" spans="1:33" ht="14.25" customHeight="1">
      <c r="A32" s="100"/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</row>
    <row r="33" spans="1:32" ht="14.25" customHeight="1">
      <c r="A33" s="100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</row>
    <row r="34" spans="1:32" ht="14.25" customHeight="1">
      <c r="A34" s="100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</row>
    <row r="35" spans="1:32" ht="14.25" customHeight="1">
      <c r="A35" s="100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4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</row>
    <row r="36" spans="1:32" ht="14.25" customHeight="1">
      <c r="A36" s="100"/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</row>
    <row r="37" spans="1:32" ht="14.25" customHeight="1">
      <c r="A37" s="100"/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</row>
    <row r="38" spans="1:32" ht="14.25" customHeight="1">
      <c r="A38" s="100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3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</row>
    <row r="39" spans="1:32" ht="14.25" customHeight="1">
      <c r="A39" s="100"/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2"/>
    </row>
    <row r="40" spans="1:32" ht="14.25" customHeight="1">
      <c r="A40" s="100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2"/>
    </row>
    <row r="41" spans="1:32" ht="14.25" customHeight="1">
      <c r="A41" s="100"/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1"/>
    </row>
    <row r="42" spans="1:32" ht="14.25" customHeight="1">
      <c r="A42" s="100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</row>
    <row r="43" spans="1:32" ht="14.25" customHeight="1">
      <c r="A43" s="100"/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</row>
    <row r="44" spans="1:32" ht="14.25" customHeight="1">
      <c r="A44" s="100"/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</row>
    <row r="45" spans="1:32" ht="14.25" customHeight="1">
      <c r="A45" s="100"/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</row>
    <row r="46" spans="1:32" ht="14.25" customHeight="1">
      <c r="A46" s="100"/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</row>
    <row r="47" spans="1:32" ht="14.25" customHeight="1">
      <c r="A47" s="100"/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</row>
    <row r="48" spans="1:32" ht="14.25" customHeight="1">
      <c r="A48" s="100"/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</row>
    <row r="49" spans="3:14" ht="14.25" customHeight="1"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</row>
    <row r="50" spans="3:14" ht="14.25" customHeight="1"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</row>
  </sheetData>
  <mergeCells count="1">
    <mergeCell ref="B4:D4"/>
  </mergeCells>
  <hyperlinks>
    <hyperlink ref="B29" r:id="rId1" display="https://www.letsrecycle.com/prices/plastics/plastic-bottles/plastic-bottles-2024/" xr:uid="{AFD98D31-6647-4B82-9C7D-C944C652180C}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EB0FC-9EB0-4851-94FE-C1E8BFE22246}">
  <sheetPr>
    <tabColor theme="9" tint="0.59999389629810485"/>
  </sheetPr>
  <dimension ref="A1:L111"/>
  <sheetViews>
    <sheetView zoomScale="90" workbookViewId="0">
      <selection activeCell="B64" sqref="B64:D64"/>
    </sheetView>
  </sheetViews>
  <sheetFormatPr defaultColWidth="8.7109375" defaultRowHeight="15"/>
  <cols>
    <col min="1" max="1" width="13.28515625" bestFit="1" customWidth="1"/>
    <col min="2" max="2" width="14.28515625" bestFit="1" customWidth="1"/>
    <col min="3" max="3" width="32.28515625" customWidth="1"/>
    <col min="4" max="4" width="30.28515625" bestFit="1" customWidth="1"/>
    <col min="5" max="6" width="30.28515625" customWidth="1"/>
    <col min="7" max="7" width="66" customWidth="1"/>
    <col min="8" max="8" width="10.28515625" bestFit="1" customWidth="1"/>
    <col min="9" max="9" width="10.28515625" customWidth="1"/>
    <col min="10" max="10" width="13.28515625" bestFit="1" customWidth="1"/>
    <col min="11" max="11" width="10.28515625" customWidth="1"/>
    <col min="12" max="12" width="19" customWidth="1"/>
  </cols>
  <sheetData>
    <row r="1" spans="1:12" ht="17.25">
      <c r="A1" s="3" t="s">
        <v>104</v>
      </c>
      <c r="B1" s="3"/>
      <c r="C1" s="3" t="s">
        <v>105</v>
      </c>
      <c r="D1" s="3"/>
      <c r="E1" s="3"/>
      <c r="F1" s="3" t="s">
        <v>106</v>
      </c>
      <c r="G1" s="3"/>
      <c r="H1" s="3"/>
      <c r="I1" s="1"/>
      <c r="J1" s="1"/>
      <c r="K1" s="1"/>
      <c r="L1" s="1"/>
    </row>
    <row r="2" spans="1:12">
      <c r="A2" s="4" t="s">
        <v>107</v>
      </c>
      <c r="B2" s="4" t="s">
        <v>108</v>
      </c>
      <c r="C2" s="4" t="s">
        <v>107</v>
      </c>
      <c r="D2" s="4" t="s">
        <v>109</v>
      </c>
      <c r="E2" s="4" t="s">
        <v>110</v>
      </c>
      <c r="F2" s="4" t="s">
        <v>106</v>
      </c>
      <c r="G2" s="2" t="s">
        <v>111</v>
      </c>
      <c r="H2" s="4" t="s">
        <v>112</v>
      </c>
      <c r="I2" s="1"/>
      <c r="J2" s="1"/>
      <c r="K2" s="1"/>
      <c r="L2" s="1"/>
    </row>
    <row r="3" spans="1:12">
      <c r="A3" s="5" t="s">
        <v>113</v>
      </c>
      <c r="B3" s="5" t="s">
        <v>114</v>
      </c>
      <c r="C3" s="5" t="s">
        <v>115</v>
      </c>
      <c r="D3" s="5" t="s">
        <v>116</v>
      </c>
      <c r="E3" s="6" t="s">
        <v>117</v>
      </c>
      <c r="F3" s="14" t="s">
        <v>118</v>
      </c>
      <c r="G3" s="14" t="s">
        <v>119</v>
      </c>
      <c r="H3" s="7"/>
      <c r="I3" s="1"/>
      <c r="J3" s="1"/>
      <c r="K3" s="1"/>
      <c r="L3" s="1"/>
    </row>
    <row r="4" spans="1:12">
      <c r="A4" s="5" t="s">
        <v>120</v>
      </c>
      <c r="B4" s="5" t="s">
        <v>121</v>
      </c>
      <c r="C4" s="5" t="s">
        <v>122</v>
      </c>
      <c r="D4" s="5" t="s">
        <v>123</v>
      </c>
      <c r="E4" s="6" t="s">
        <v>124</v>
      </c>
      <c r="F4" s="6"/>
      <c r="G4" s="14" t="s">
        <v>125</v>
      </c>
      <c r="H4" s="7">
        <v>44197</v>
      </c>
      <c r="I4" s="1"/>
      <c r="J4" s="1"/>
      <c r="K4" s="1"/>
      <c r="L4" s="1"/>
    </row>
    <row r="5" spans="1:12">
      <c r="A5" s="5" t="s">
        <v>126</v>
      </c>
      <c r="B5" s="5" t="s">
        <v>127</v>
      </c>
      <c r="C5" s="5" t="s">
        <v>128</v>
      </c>
      <c r="D5" s="5" t="s">
        <v>129</v>
      </c>
      <c r="E5" s="6" t="s">
        <v>130</v>
      </c>
      <c r="F5" s="6"/>
      <c r="G5" s="14" t="s">
        <v>125</v>
      </c>
      <c r="H5" s="7"/>
      <c r="I5" s="1"/>
      <c r="J5" s="1"/>
      <c r="K5" s="1"/>
      <c r="L5" s="1"/>
    </row>
    <row r="6" spans="1:12">
      <c r="A6" s="5" t="s">
        <v>131</v>
      </c>
      <c r="B6" s="5" t="s">
        <v>114</v>
      </c>
      <c r="C6" s="5" t="s">
        <v>132</v>
      </c>
      <c r="D6" s="5" t="s">
        <v>133</v>
      </c>
      <c r="E6" s="6" t="s">
        <v>134</v>
      </c>
      <c r="F6" s="6"/>
      <c r="G6" s="14" t="s">
        <v>135</v>
      </c>
      <c r="H6" s="7">
        <v>43961</v>
      </c>
    </row>
    <row r="7" spans="1:12">
      <c r="A7" s="5" t="s">
        <v>136</v>
      </c>
      <c r="B7" s="5" t="s">
        <v>137</v>
      </c>
      <c r="C7" s="5" t="s">
        <v>138</v>
      </c>
      <c r="D7" s="5" t="s">
        <v>139</v>
      </c>
      <c r="E7" s="6" t="s">
        <v>140</v>
      </c>
      <c r="F7" s="6"/>
      <c r="G7" s="14" t="s">
        <v>125</v>
      </c>
      <c r="H7" s="7"/>
    </row>
    <row r="8" spans="1:12">
      <c r="A8" s="5" t="s">
        <v>141</v>
      </c>
      <c r="B8" s="5" t="s">
        <v>137</v>
      </c>
      <c r="C8" s="5" t="s">
        <v>142</v>
      </c>
      <c r="D8" s="5" t="s">
        <v>143</v>
      </c>
      <c r="E8" s="6" t="s">
        <v>144</v>
      </c>
      <c r="F8" s="6"/>
      <c r="G8" s="14" t="s">
        <v>145</v>
      </c>
      <c r="H8" s="7"/>
    </row>
    <row r="9" spans="1:12">
      <c r="A9" s="5" t="s">
        <v>146</v>
      </c>
      <c r="B9" s="5" t="s">
        <v>137</v>
      </c>
      <c r="C9" s="5" t="s">
        <v>147</v>
      </c>
      <c r="D9" s="5" t="s">
        <v>148</v>
      </c>
      <c r="E9" s="6" t="s">
        <v>149</v>
      </c>
      <c r="F9" s="6"/>
      <c r="G9" s="14" t="s">
        <v>150</v>
      </c>
      <c r="H9" s="7"/>
    </row>
    <row r="10" spans="1:12">
      <c r="A10" s="5" t="s">
        <v>151</v>
      </c>
      <c r="B10" s="5" t="s">
        <v>137</v>
      </c>
      <c r="C10" s="5" t="s">
        <v>152</v>
      </c>
      <c r="D10" s="5"/>
      <c r="E10" s="6" t="s">
        <v>153</v>
      </c>
      <c r="F10" s="6"/>
      <c r="G10" s="14" t="s">
        <v>154</v>
      </c>
      <c r="H10" s="7"/>
    </row>
    <row r="11" spans="1:12">
      <c r="A11" s="5" t="s">
        <v>155</v>
      </c>
      <c r="B11" s="5" t="s">
        <v>114</v>
      </c>
      <c r="C11" s="5" t="s">
        <v>156</v>
      </c>
      <c r="D11" s="5" t="s">
        <v>157</v>
      </c>
      <c r="E11" s="6" t="s">
        <v>158</v>
      </c>
      <c r="F11" s="6"/>
      <c r="G11" s="14" t="s">
        <v>159</v>
      </c>
      <c r="H11" s="7"/>
    </row>
    <row r="12" spans="1:12">
      <c r="A12" s="5" t="s">
        <v>160</v>
      </c>
      <c r="B12" s="5" t="s">
        <v>127</v>
      </c>
      <c r="C12" s="5" t="s">
        <v>161</v>
      </c>
      <c r="D12" s="5" t="s">
        <v>162</v>
      </c>
      <c r="E12" s="6" t="s">
        <v>163</v>
      </c>
      <c r="F12" s="14" t="s">
        <v>118</v>
      </c>
      <c r="G12" s="8"/>
      <c r="H12" s="7"/>
    </row>
    <row r="13" spans="1:12">
      <c r="A13" s="5" t="s">
        <v>164</v>
      </c>
      <c r="B13" s="5" t="s">
        <v>121</v>
      </c>
      <c r="C13" s="5" t="s">
        <v>165</v>
      </c>
      <c r="D13" s="5" t="s">
        <v>166</v>
      </c>
      <c r="E13" s="6"/>
      <c r="F13" s="6"/>
      <c r="G13" s="14" t="s">
        <v>167</v>
      </c>
      <c r="H13" s="7"/>
    </row>
    <row r="14" spans="1:12">
      <c r="A14" s="5" t="s">
        <v>168</v>
      </c>
      <c r="B14" s="5" t="s">
        <v>114</v>
      </c>
      <c r="C14" s="5" t="s">
        <v>169</v>
      </c>
      <c r="D14" s="5" t="s">
        <v>170</v>
      </c>
      <c r="E14" s="6" t="s">
        <v>171</v>
      </c>
      <c r="F14" s="6"/>
      <c r="G14" s="14"/>
      <c r="H14" s="7"/>
    </row>
    <row r="15" spans="1:12">
      <c r="A15" s="5" t="s">
        <v>168</v>
      </c>
      <c r="B15" s="5" t="s">
        <v>114</v>
      </c>
      <c r="C15" s="5" t="s">
        <v>172</v>
      </c>
      <c r="D15" s="5" t="s">
        <v>170</v>
      </c>
      <c r="E15" s="6" t="s">
        <v>173</v>
      </c>
      <c r="F15" s="6"/>
      <c r="G15" s="14"/>
      <c r="H15" s="7"/>
    </row>
    <row r="16" spans="1:12">
      <c r="A16" s="5" t="s">
        <v>168</v>
      </c>
      <c r="B16" s="5" t="s">
        <v>114</v>
      </c>
      <c r="C16" s="5" t="s">
        <v>174</v>
      </c>
      <c r="D16" s="5" t="s">
        <v>170</v>
      </c>
      <c r="E16" s="6" t="s">
        <v>175</v>
      </c>
      <c r="F16" s="6"/>
      <c r="G16" s="14"/>
      <c r="H16" s="7"/>
    </row>
    <row r="17" spans="1:8">
      <c r="A17" s="5" t="s">
        <v>176</v>
      </c>
      <c r="B17" s="5" t="s">
        <v>114</v>
      </c>
      <c r="C17" s="5" t="s">
        <v>177</v>
      </c>
      <c r="D17" s="5" t="s">
        <v>178</v>
      </c>
      <c r="E17" s="6" t="s">
        <v>179</v>
      </c>
      <c r="F17" s="6"/>
      <c r="G17" s="14"/>
      <c r="H17" s="7"/>
    </row>
    <row r="18" spans="1:8">
      <c r="A18" s="5" t="s">
        <v>176</v>
      </c>
      <c r="B18" s="5" t="s">
        <v>114</v>
      </c>
      <c r="C18" s="5" t="s">
        <v>180</v>
      </c>
      <c r="D18" s="5" t="s">
        <v>178</v>
      </c>
      <c r="E18" s="6" t="s">
        <v>181</v>
      </c>
      <c r="F18" s="6"/>
      <c r="G18" s="14"/>
      <c r="H18" s="7"/>
    </row>
    <row r="19" spans="1:8">
      <c r="A19" s="5" t="s">
        <v>176</v>
      </c>
      <c r="B19" s="5" t="s">
        <v>114</v>
      </c>
      <c r="C19" s="5" t="s">
        <v>182</v>
      </c>
      <c r="D19" s="5" t="s">
        <v>178</v>
      </c>
      <c r="E19" s="6" t="s">
        <v>183</v>
      </c>
      <c r="F19" s="6"/>
      <c r="G19" s="14"/>
      <c r="H19" s="7"/>
    </row>
    <row r="20" spans="1:8">
      <c r="A20" s="5" t="s">
        <v>160</v>
      </c>
      <c r="B20" s="5" t="s">
        <v>127</v>
      </c>
      <c r="C20" s="5" t="s">
        <v>184</v>
      </c>
      <c r="D20" s="5" t="s">
        <v>185</v>
      </c>
      <c r="E20" s="15" t="s">
        <v>186</v>
      </c>
      <c r="F20" s="15"/>
      <c r="G20" s="14"/>
      <c r="H20" s="7"/>
    </row>
    <row r="21" spans="1:8">
      <c r="A21" s="5" t="s">
        <v>160</v>
      </c>
      <c r="B21" s="5" t="s">
        <v>127</v>
      </c>
      <c r="C21" s="5" t="s">
        <v>187</v>
      </c>
      <c r="D21" s="5" t="s">
        <v>185</v>
      </c>
      <c r="E21" s="6" t="s">
        <v>188</v>
      </c>
      <c r="F21" s="6"/>
      <c r="G21" s="14"/>
      <c r="H21" s="7"/>
    </row>
    <row r="22" spans="1:8">
      <c r="A22" s="5" t="s">
        <v>189</v>
      </c>
      <c r="B22" s="5" t="s">
        <v>127</v>
      </c>
      <c r="C22" s="5" t="s">
        <v>190</v>
      </c>
      <c r="D22" s="5" t="s">
        <v>191</v>
      </c>
      <c r="E22" s="6" t="s">
        <v>192</v>
      </c>
      <c r="F22" s="6"/>
      <c r="G22" s="14"/>
      <c r="H22" s="7"/>
    </row>
    <row r="23" spans="1:8">
      <c r="A23" s="5" t="s">
        <v>146</v>
      </c>
      <c r="B23" s="5" t="s">
        <v>137</v>
      </c>
      <c r="C23" s="5" t="s">
        <v>193</v>
      </c>
      <c r="D23" s="5" t="s">
        <v>194</v>
      </c>
      <c r="E23" s="6" t="s">
        <v>195</v>
      </c>
      <c r="F23" s="6"/>
      <c r="G23" s="14"/>
      <c r="H23" s="7"/>
    </row>
    <row r="24" spans="1:8">
      <c r="A24" s="5" t="s">
        <v>146</v>
      </c>
      <c r="B24" s="5" t="s">
        <v>137</v>
      </c>
      <c r="C24" s="5" t="s">
        <v>196</v>
      </c>
      <c r="D24" s="5" t="s">
        <v>194</v>
      </c>
      <c r="E24" s="6" t="s">
        <v>197</v>
      </c>
      <c r="F24" s="6"/>
      <c r="G24" s="14"/>
      <c r="H24" s="7"/>
    </row>
    <row r="25" spans="1:8">
      <c r="A25" s="5" t="s">
        <v>146</v>
      </c>
      <c r="B25" s="5" t="s">
        <v>137</v>
      </c>
      <c r="C25" s="5" t="s">
        <v>198</v>
      </c>
      <c r="D25" s="5"/>
      <c r="E25" s="6" t="s">
        <v>199</v>
      </c>
      <c r="F25" s="6"/>
      <c r="G25" s="14"/>
      <c r="H25" s="7"/>
    </row>
    <row r="26" spans="1:8">
      <c r="A26" s="5" t="s">
        <v>146</v>
      </c>
      <c r="B26" s="5" t="s">
        <v>137</v>
      </c>
      <c r="C26" s="5" t="s">
        <v>200</v>
      </c>
      <c r="D26" s="5"/>
      <c r="E26" s="6" t="s">
        <v>201</v>
      </c>
      <c r="F26" s="6"/>
      <c r="G26" s="14"/>
      <c r="H26" s="7"/>
    </row>
    <row r="27" spans="1:8">
      <c r="A27" s="5" t="s">
        <v>146</v>
      </c>
      <c r="B27" s="5" t="s">
        <v>137</v>
      </c>
      <c r="C27" s="5" t="s">
        <v>202</v>
      </c>
      <c r="D27" s="5"/>
      <c r="E27" s="6" t="s">
        <v>203</v>
      </c>
      <c r="F27" s="6"/>
      <c r="G27" s="14"/>
      <c r="H27" s="7"/>
    </row>
    <row r="28" spans="1:8">
      <c r="A28" s="5" t="s">
        <v>146</v>
      </c>
      <c r="B28" s="5" t="s">
        <v>137</v>
      </c>
      <c r="C28" s="5" t="s">
        <v>204</v>
      </c>
      <c r="D28" s="5"/>
      <c r="E28" s="6" t="s">
        <v>205</v>
      </c>
      <c r="F28" s="6"/>
      <c r="G28" s="14"/>
      <c r="H28" s="7"/>
    </row>
    <row r="29" spans="1:8">
      <c r="A29" s="5" t="s">
        <v>146</v>
      </c>
      <c r="B29" s="5" t="s">
        <v>137</v>
      </c>
      <c r="C29" s="5" t="s">
        <v>206</v>
      </c>
      <c r="D29" s="5"/>
      <c r="E29" s="6" t="s">
        <v>207</v>
      </c>
      <c r="F29" s="6"/>
      <c r="G29" s="14"/>
      <c r="H29" s="7"/>
    </row>
    <row r="30" spans="1:8">
      <c r="A30" s="5" t="s">
        <v>146</v>
      </c>
      <c r="B30" s="5" t="s">
        <v>137</v>
      </c>
      <c r="C30" s="5" t="s">
        <v>208</v>
      </c>
      <c r="D30" s="5"/>
      <c r="E30" s="6" t="s">
        <v>209</v>
      </c>
      <c r="F30" s="6"/>
      <c r="G30" s="14"/>
      <c r="H30" s="7"/>
    </row>
    <row r="31" spans="1:8">
      <c r="A31" s="5" t="s">
        <v>146</v>
      </c>
      <c r="B31" s="5" t="s">
        <v>137</v>
      </c>
      <c r="C31" s="5" t="s">
        <v>210</v>
      </c>
      <c r="D31" s="5"/>
      <c r="E31" s="6" t="s">
        <v>211</v>
      </c>
      <c r="F31" s="6"/>
      <c r="G31" s="14"/>
      <c r="H31" s="7"/>
    </row>
    <row r="32" spans="1:8">
      <c r="A32" s="5" t="s">
        <v>212</v>
      </c>
      <c r="B32" s="5" t="s">
        <v>213</v>
      </c>
      <c r="C32" s="5" t="s">
        <v>214</v>
      </c>
      <c r="D32" s="5" t="s">
        <v>215</v>
      </c>
      <c r="E32" s="6"/>
      <c r="F32" s="6"/>
      <c r="G32" s="14" t="s">
        <v>216</v>
      </c>
      <c r="H32" s="7"/>
    </row>
    <row r="33" spans="1:8">
      <c r="A33" s="5" t="s">
        <v>151</v>
      </c>
      <c r="B33" s="5" t="s">
        <v>137</v>
      </c>
      <c r="C33" s="5" t="s">
        <v>217</v>
      </c>
      <c r="D33" s="5"/>
      <c r="E33" s="6" t="s">
        <v>218</v>
      </c>
      <c r="F33" s="6"/>
      <c r="G33" s="14"/>
      <c r="H33" s="7"/>
    </row>
    <row r="34" spans="1:8">
      <c r="A34" s="5" t="s">
        <v>151</v>
      </c>
      <c r="B34" s="5" t="s">
        <v>137</v>
      </c>
      <c r="C34" s="5" t="s">
        <v>219</v>
      </c>
      <c r="D34" s="5"/>
      <c r="E34" s="6" t="s">
        <v>220</v>
      </c>
      <c r="F34" s="6"/>
      <c r="G34" s="14"/>
      <c r="H34" s="7"/>
    </row>
    <row r="35" spans="1:8">
      <c r="A35" s="5" t="s">
        <v>151</v>
      </c>
      <c r="B35" s="5" t="s">
        <v>137</v>
      </c>
      <c r="C35" s="5" t="s">
        <v>221</v>
      </c>
      <c r="D35" s="5"/>
      <c r="E35" s="6" t="s">
        <v>222</v>
      </c>
      <c r="F35" s="6"/>
      <c r="G35" s="14"/>
      <c r="H35" s="7"/>
    </row>
    <row r="36" spans="1:8">
      <c r="A36" s="5" t="s">
        <v>223</v>
      </c>
      <c r="B36" s="5" t="s">
        <v>137</v>
      </c>
      <c r="C36" s="5" t="s">
        <v>224</v>
      </c>
      <c r="D36" s="5"/>
      <c r="E36" s="6"/>
      <c r="F36" s="6"/>
      <c r="G36" s="14"/>
      <c r="H36" s="7"/>
    </row>
    <row r="37" spans="1:8">
      <c r="A37" s="5" t="s">
        <v>225</v>
      </c>
      <c r="B37" s="5" t="s">
        <v>137</v>
      </c>
      <c r="C37" s="5" t="s">
        <v>226</v>
      </c>
      <c r="D37" s="5" t="s">
        <v>227</v>
      </c>
      <c r="E37" s="6" t="s">
        <v>228</v>
      </c>
      <c r="F37" s="6"/>
      <c r="G37" s="14"/>
      <c r="H37" s="7"/>
    </row>
    <row r="38" spans="1:8">
      <c r="A38" s="5" t="s">
        <v>225</v>
      </c>
      <c r="B38" s="5" t="s">
        <v>137</v>
      </c>
      <c r="C38" s="5" t="s">
        <v>229</v>
      </c>
      <c r="D38" s="5" t="s">
        <v>227</v>
      </c>
      <c r="E38" s="6" t="s">
        <v>230</v>
      </c>
      <c r="F38" s="6"/>
      <c r="G38" s="14"/>
      <c r="H38" s="7"/>
    </row>
    <row r="39" spans="1:8">
      <c r="A39" s="5" t="s">
        <v>225</v>
      </c>
      <c r="B39" s="5" t="s">
        <v>137</v>
      </c>
      <c r="C39" s="5" t="s">
        <v>231</v>
      </c>
      <c r="D39" s="5" t="s">
        <v>227</v>
      </c>
      <c r="E39" s="6" t="s">
        <v>232</v>
      </c>
      <c r="F39" s="6"/>
      <c r="G39" s="14"/>
      <c r="H39" s="7"/>
    </row>
    <row r="40" spans="1:8">
      <c r="A40" s="5" t="s">
        <v>233</v>
      </c>
      <c r="B40" s="5" t="s">
        <v>137</v>
      </c>
      <c r="C40" s="5" t="s">
        <v>234</v>
      </c>
      <c r="D40" s="5"/>
      <c r="E40" s="6" t="s">
        <v>235</v>
      </c>
      <c r="F40" s="6"/>
      <c r="G40" s="14"/>
      <c r="H40" s="7"/>
    </row>
    <row r="41" spans="1:8">
      <c r="A41" s="5" t="s">
        <v>233</v>
      </c>
      <c r="B41" s="5" t="s">
        <v>137</v>
      </c>
      <c r="C41" s="5" t="s">
        <v>236</v>
      </c>
      <c r="D41" s="5"/>
      <c r="E41" s="6" t="s">
        <v>237</v>
      </c>
      <c r="F41" s="6"/>
      <c r="G41" s="14"/>
      <c r="H41" s="7"/>
    </row>
    <row r="42" spans="1:8">
      <c r="A42" s="5" t="s">
        <v>233</v>
      </c>
      <c r="B42" s="5" t="s">
        <v>137</v>
      </c>
      <c r="C42" s="5" t="s">
        <v>238</v>
      </c>
      <c r="D42" s="5"/>
      <c r="E42" s="6" t="s">
        <v>239</v>
      </c>
      <c r="F42" s="6"/>
      <c r="G42" s="14"/>
      <c r="H42" s="7"/>
    </row>
    <row r="43" spans="1:8">
      <c r="A43" s="5" t="s">
        <v>240</v>
      </c>
      <c r="B43" s="5" t="s">
        <v>137</v>
      </c>
      <c r="C43" s="5" t="s">
        <v>241</v>
      </c>
      <c r="D43" s="5"/>
      <c r="E43" s="6" t="s">
        <v>242</v>
      </c>
      <c r="F43" s="6"/>
      <c r="G43" s="14"/>
      <c r="H43" s="7"/>
    </row>
    <row r="44" spans="1:8">
      <c r="A44" s="5" t="s">
        <v>240</v>
      </c>
      <c r="B44" s="5" t="s">
        <v>137</v>
      </c>
      <c r="C44" s="5" t="s">
        <v>243</v>
      </c>
      <c r="D44" s="5"/>
      <c r="E44" s="6" t="s">
        <v>244</v>
      </c>
      <c r="F44" s="6"/>
      <c r="G44" s="14"/>
      <c r="H44" s="7"/>
    </row>
    <row r="45" spans="1:8">
      <c r="A45" s="5" t="s">
        <v>240</v>
      </c>
      <c r="B45" s="5" t="s">
        <v>137</v>
      </c>
      <c r="C45" s="5" t="s">
        <v>245</v>
      </c>
      <c r="D45" s="5"/>
      <c r="E45" s="6" t="s">
        <v>246</v>
      </c>
      <c r="F45" s="6"/>
      <c r="G45" s="14"/>
      <c r="H45" s="7"/>
    </row>
    <row r="46" spans="1:8">
      <c r="A46" s="5" t="s">
        <v>247</v>
      </c>
      <c r="B46" s="5" t="s">
        <v>248</v>
      </c>
      <c r="C46" s="5" t="s">
        <v>249</v>
      </c>
      <c r="D46" s="5" t="s">
        <v>250</v>
      </c>
      <c r="E46" s="6" t="s">
        <v>251</v>
      </c>
      <c r="F46" s="6"/>
      <c r="G46" s="14"/>
      <c r="H46" s="7"/>
    </row>
    <row r="47" spans="1:8">
      <c r="A47" s="5" t="s">
        <v>252</v>
      </c>
      <c r="B47" s="5" t="s">
        <v>127</v>
      </c>
      <c r="C47" s="5" t="s">
        <v>253</v>
      </c>
      <c r="D47" s="5" t="s">
        <v>250</v>
      </c>
      <c r="E47" s="6" t="s">
        <v>254</v>
      </c>
      <c r="F47" s="6"/>
      <c r="G47" s="14"/>
      <c r="H47" s="7"/>
    </row>
    <row r="48" spans="1:8">
      <c r="A48" s="5" t="s">
        <v>255</v>
      </c>
      <c r="B48" s="5"/>
      <c r="C48" s="5" t="s">
        <v>256</v>
      </c>
      <c r="D48" s="5" t="s">
        <v>250</v>
      </c>
      <c r="E48" s="6" t="s">
        <v>257</v>
      </c>
      <c r="F48" s="6"/>
      <c r="G48" s="14"/>
      <c r="H48" s="7"/>
    </row>
    <row r="49" spans="1:8">
      <c r="A49" s="5" t="s">
        <v>247</v>
      </c>
      <c r="B49" s="5" t="s">
        <v>248</v>
      </c>
      <c r="C49" s="5" t="s">
        <v>258</v>
      </c>
      <c r="D49" s="5" t="s">
        <v>250</v>
      </c>
      <c r="E49" s="6" t="s">
        <v>259</v>
      </c>
      <c r="F49" s="6"/>
      <c r="G49" s="14"/>
      <c r="H49" s="7"/>
    </row>
    <row r="50" spans="1:8">
      <c r="A50" s="5" t="s">
        <v>247</v>
      </c>
      <c r="B50" s="5" t="s">
        <v>248</v>
      </c>
      <c r="C50" s="5" t="s">
        <v>260</v>
      </c>
      <c r="D50" s="5" t="s">
        <v>250</v>
      </c>
      <c r="E50" s="6" t="s">
        <v>261</v>
      </c>
      <c r="F50" s="6"/>
      <c r="G50" s="14"/>
      <c r="H50" s="7"/>
    </row>
    <row r="51" spans="1:8">
      <c r="A51" s="5" t="s">
        <v>160</v>
      </c>
      <c r="B51" s="5" t="s">
        <v>127</v>
      </c>
      <c r="C51" s="5" t="s">
        <v>262</v>
      </c>
      <c r="D51" s="5"/>
      <c r="E51" s="6"/>
      <c r="F51" s="6"/>
      <c r="G51" s="14"/>
      <c r="H51" s="7"/>
    </row>
    <row r="52" spans="1:8">
      <c r="A52" s="5" t="s">
        <v>263</v>
      </c>
      <c r="B52" s="5" t="s">
        <v>213</v>
      </c>
      <c r="C52" s="5" t="s">
        <v>264</v>
      </c>
      <c r="D52" s="5"/>
      <c r="E52" s="6" t="s">
        <v>265</v>
      </c>
      <c r="F52" s="6"/>
      <c r="G52" s="14"/>
      <c r="H52" s="7"/>
    </row>
    <row r="53" spans="1:8">
      <c r="A53" s="5" t="s">
        <v>266</v>
      </c>
      <c r="B53" s="5" t="s">
        <v>114</v>
      </c>
      <c r="C53" s="5" t="s">
        <v>267</v>
      </c>
      <c r="D53" s="5"/>
      <c r="E53" s="6" t="s">
        <v>268</v>
      </c>
      <c r="F53" s="6"/>
      <c r="G53" s="14"/>
      <c r="H53" s="7"/>
    </row>
    <row r="54" spans="1:8">
      <c r="A54" s="5" t="s">
        <v>266</v>
      </c>
      <c r="B54" s="5" t="s">
        <v>114</v>
      </c>
      <c r="C54" s="5" t="s">
        <v>269</v>
      </c>
      <c r="D54" s="5"/>
      <c r="E54" s="6" t="s">
        <v>270</v>
      </c>
      <c r="F54" s="6"/>
      <c r="G54" s="14"/>
      <c r="H54" s="7"/>
    </row>
    <row r="55" spans="1:8">
      <c r="A55" s="5" t="s">
        <v>271</v>
      </c>
      <c r="B55" s="5" t="s">
        <v>137</v>
      </c>
      <c r="C55" s="5"/>
      <c r="D55" s="5" t="s">
        <v>272</v>
      </c>
      <c r="E55" s="6"/>
      <c r="F55" s="6"/>
      <c r="G55" s="14"/>
      <c r="H55" s="7"/>
    </row>
    <row r="56" spans="1:8">
      <c r="A56" s="5" t="s">
        <v>273</v>
      </c>
      <c r="B56" s="5"/>
      <c r="C56" s="5" t="s">
        <v>274</v>
      </c>
      <c r="D56" s="5" t="s">
        <v>275</v>
      </c>
      <c r="E56" s="6" t="s">
        <v>276</v>
      </c>
      <c r="F56" s="6"/>
      <c r="G56" s="14"/>
      <c r="H56" s="7"/>
    </row>
    <row r="57" spans="1:8">
      <c r="A57" s="5" t="s">
        <v>277</v>
      </c>
      <c r="B57" s="5" t="s">
        <v>114</v>
      </c>
      <c r="C57" s="5" t="s">
        <v>278</v>
      </c>
      <c r="D57" s="5" t="s">
        <v>279</v>
      </c>
      <c r="E57" s="6" t="s">
        <v>280</v>
      </c>
      <c r="F57" s="6"/>
      <c r="G57" s="14"/>
      <c r="H57" s="7"/>
    </row>
    <row r="58" spans="1:8">
      <c r="A58" s="5" t="s">
        <v>277</v>
      </c>
      <c r="B58" s="5" t="s">
        <v>114</v>
      </c>
      <c r="C58" s="5" t="s">
        <v>281</v>
      </c>
      <c r="D58" s="5" t="s">
        <v>279</v>
      </c>
      <c r="E58" s="6" t="s">
        <v>282</v>
      </c>
      <c r="F58" s="6"/>
      <c r="G58" s="14"/>
      <c r="H58" s="7"/>
    </row>
    <row r="59" spans="1:8">
      <c r="A59" s="5" t="s">
        <v>277</v>
      </c>
      <c r="B59" s="5" t="s">
        <v>114</v>
      </c>
      <c r="C59" s="5" t="s">
        <v>283</v>
      </c>
      <c r="D59" s="5" t="s">
        <v>279</v>
      </c>
      <c r="E59" s="6" t="s">
        <v>284</v>
      </c>
      <c r="F59" s="6"/>
      <c r="G59" s="14"/>
      <c r="H59" s="7"/>
    </row>
    <row r="60" spans="1:8">
      <c r="A60" s="5" t="s">
        <v>285</v>
      </c>
      <c r="B60" s="5" t="s">
        <v>137</v>
      </c>
      <c r="C60" s="5"/>
      <c r="D60" s="5" t="s">
        <v>272</v>
      </c>
      <c r="F60" s="6"/>
      <c r="G60" s="14"/>
      <c r="H60" s="7"/>
    </row>
    <row r="61" spans="1:8">
      <c r="A61" s="5" t="s">
        <v>286</v>
      </c>
      <c r="B61" s="5" t="s">
        <v>114</v>
      </c>
      <c r="C61" s="5"/>
      <c r="D61" s="5" t="s">
        <v>287</v>
      </c>
      <c r="E61" s="6"/>
      <c r="F61" s="6"/>
      <c r="G61" s="14" t="s">
        <v>288</v>
      </c>
      <c r="H61" s="5"/>
    </row>
    <row r="62" spans="1:8">
      <c r="A62" s="5" t="s">
        <v>289</v>
      </c>
      <c r="B62" s="5" t="s">
        <v>137</v>
      </c>
      <c r="C62" s="5"/>
      <c r="D62" s="5" t="s">
        <v>290</v>
      </c>
      <c r="E62" s="6"/>
      <c r="F62" s="6"/>
      <c r="G62" s="14"/>
      <c r="H62" s="5"/>
    </row>
    <row r="63" spans="1:8">
      <c r="A63" s="5" t="s">
        <v>291</v>
      </c>
      <c r="B63" s="5" t="s">
        <v>137</v>
      </c>
      <c r="C63" s="5"/>
      <c r="D63" s="5" t="s">
        <v>290</v>
      </c>
      <c r="E63" s="6"/>
      <c r="F63" s="6"/>
      <c r="G63" s="14"/>
      <c r="H63" s="5"/>
    </row>
    <row r="64" spans="1:8">
      <c r="A64" s="5"/>
      <c r="B64" s="5" t="s">
        <v>292</v>
      </c>
      <c r="C64" s="5"/>
      <c r="D64" s="5" t="s">
        <v>293</v>
      </c>
      <c r="E64" s="16" t="s">
        <v>294</v>
      </c>
      <c r="F64" s="6"/>
      <c r="G64" s="14"/>
      <c r="H64" s="5"/>
    </row>
    <row r="65" spans="1:8" ht="15.75">
      <c r="A65" s="5" t="s">
        <v>295</v>
      </c>
      <c r="B65" s="5" t="s">
        <v>296</v>
      </c>
      <c r="C65" s="17" t="s">
        <v>297</v>
      </c>
      <c r="D65" s="5" t="s">
        <v>266</v>
      </c>
      <c r="E65" s="16"/>
      <c r="F65" s="6"/>
      <c r="G65" s="14" t="s">
        <v>298</v>
      </c>
      <c r="H65" s="5"/>
    </row>
    <row r="66" spans="1:8" ht="15.75">
      <c r="A66" s="5" t="s">
        <v>299</v>
      </c>
      <c r="B66" s="5" t="s">
        <v>296</v>
      </c>
      <c r="C66" s="17" t="s">
        <v>300</v>
      </c>
      <c r="D66" s="5" t="s">
        <v>301</v>
      </c>
      <c r="E66" s="16" t="s">
        <v>302</v>
      </c>
      <c r="F66" s="6"/>
      <c r="G66" s="14" t="s">
        <v>303</v>
      </c>
      <c r="H66" s="5"/>
    </row>
    <row r="67" spans="1:8" ht="15.75">
      <c r="A67" s="5" t="s">
        <v>304</v>
      </c>
      <c r="B67" s="5"/>
      <c r="C67" s="17"/>
      <c r="D67" s="5"/>
      <c r="E67" s="16" t="s">
        <v>305</v>
      </c>
      <c r="F67" s="6"/>
      <c r="G67" s="14"/>
      <c r="H67" s="5"/>
    </row>
    <row r="68" spans="1:8">
      <c r="A68" s="5" t="s">
        <v>306</v>
      </c>
      <c r="B68" s="5"/>
      <c r="C68" s="5"/>
      <c r="D68" s="5" t="s">
        <v>129</v>
      </c>
      <c r="E68" s="6"/>
      <c r="F68" s="6"/>
      <c r="G68" s="14" t="s">
        <v>307</v>
      </c>
      <c r="H68" s="5"/>
    </row>
    <row r="69" spans="1:8">
      <c r="A69" s="5" t="s">
        <v>308</v>
      </c>
      <c r="B69" s="5" t="s">
        <v>309</v>
      </c>
      <c r="C69" s="5"/>
      <c r="D69" s="5" t="s">
        <v>310</v>
      </c>
      <c r="E69" s="16" t="s">
        <v>311</v>
      </c>
      <c r="F69" s="6"/>
      <c r="G69" s="14"/>
      <c r="H69" s="5"/>
    </row>
    <row r="70" spans="1:8">
      <c r="A70" s="5" t="s">
        <v>312</v>
      </c>
      <c r="B70" s="5" t="s">
        <v>313</v>
      </c>
      <c r="C70" s="5"/>
      <c r="D70" s="5" t="s">
        <v>314</v>
      </c>
      <c r="E70" s="6"/>
      <c r="F70" s="6"/>
      <c r="G70" s="14" t="s">
        <v>315</v>
      </c>
      <c r="H70" s="5"/>
    </row>
    <row r="71" spans="1:8">
      <c r="A71" s="18" t="s">
        <v>316</v>
      </c>
      <c r="D71" s="18" t="s">
        <v>317</v>
      </c>
    </row>
    <row r="73" spans="1:8">
      <c r="A73" t="s">
        <v>318</v>
      </c>
    </row>
    <row r="74" spans="1:8">
      <c r="A74" t="s">
        <v>319</v>
      </c>
      <c r="C74" t="s">
        <v>320</v>
      </c>
      <c r="D74" t="s">
        <v>321</v>
      </c>
    </row>
    <row r="75" spans="1:8">
      <c r="A75" t="s">
        <v>240</v>
      </c>
      <c r="C75" t="s">
        <v>322</v>
      </c>
      <c r="D75" t="s">
        <v>321</v>
      </c>
    </row>
    <row r="76" spans="1:8">
      <c r="A76" t="s">
        <v>323</v>
      </c>
      <c r="C76" t="s">
        <v>324</v>
      </c>
      <c r="D76" t="s">
        <v>321</v>
      </c>
    </row>
    <row r="77" spans="1:8">
      <c r="A77" t="s">
        <v>289</v>
      </c>
      <c r="C77" t="s">
        <v>325</v>
      </c>
      <c r="D77" t="s">
        <v>321</v>
      </c>
    </row>
    <row r="78" spans="1:8">
      <c r="A78" t="s">
        <v>326</v>
      </c>
      <c r="C78" t="s">
        <v>327</v>
      </c>
      <c r="D78" t="s">
        <v>321</v>
      </c>
    </row>
    <row r="79" spans="1:8">
      <c r="A79" t="s">
        <v>328</v>
      </c>
      <c r="D79" t="s">
        <v>321</v>
      </c>
    </row>
    <row r="80" spans="1:8">
      <c r="A80" t="s">
        <v>329</v>
      </c>
      <c r="C80" t="s">
        <v>330</v>
      </c>
      <c r="D80" t="s">
        <v>321</v>
      </c>
    </row>
    <row r="81" spans="1:7">
      <c r="A81" t="s">
        <v>331</v>
      </c>
      <c r="C81" t="s">
        <v>332</v>
      </c>
      <c r="D81" t="s">
        <v>321</v>
      </c>
    </row>
    <row r="82" spans="1:7">
      <c r="A82" t="s">
        <v>333</v>
      </c>
      <c r="C82" t="s">
        <v>334</v>
      </c>
      <c r="D82" t="s">
        <v>321</v>
      </c>
    </row>
    <row r="83" spans="1:7">
      <c r="A83" t="s">
        <v>335</v>
      </c>
      <c r="C83" t="s">
        <v>336</v>
      </c>
      <c r="D83" t="s">
        <v>321</v>
      </c>
    </row>
    <row r="84" spans="1:7">
      <c r="A84" t="s">
        <v>337</v>
      </c>
      <c r="C84" t="s">
        <v>338</v>
      </c>
      <c r="D84" t="s">
        <v>321</v>
      </c>
    </row>
    <row r="85" spans="1:7">
      <c r="A85" t="s">
        <v>339</v>
      </c>
      <c r="C85" t="s">
        <v>340</v>
      </c>
      <c r="D85" t="s">
        <v>321</v>
      </c>
    </row>
    <row r="88" spans="1:7">
      <c r="A88" s="9"/>
      <c r="B88" s="10"/>
      <c r="G88" s="11"/>
    </row>
    <row r="89" spans="1:7">
      <c r="A89" s="12"/>
    </row>
    <row r="90" spans="1:7">
      <c r="A90" s="9"/>
    </row>
    <row r="91" spans="1:7">
      <c r="A91" s="12"/>
    </row>
    <row r="92" spans="1:7">
      <c r="A92" s="9"/>
    </row>
    <row r="93" spans="1:7">
      <c r="A93" s="12"/>
    </row>
    <row r="94" spans="1:7">
      <c r="A94" s="9"/>
    </row>
    <row r="95" spans="1:7">
      <c r="A95" s="12"/>
    </row>
    <row r="96" spans="1:7">
      <c r="A96" s="9"/>
    </row>
    <row r="97" spans="1:1">
      <c r="A97" s="12"/>
    </row>
    <row r="98" spans="1:1">
      <c r="A98" s="9"/>
    </row>
    <row r="99" spans="1:1">
      <c r="A99" s="12"/>
    </row>
    <row r="100" spans="1:1">
      <c r="A100" s="9"/>
    </row>
    <row r="101" spans="1:1">
      <c r="A101" s="12"/>
    </row>
    <row r="102" spans="1:1">
      <c r="A102" s="12"/>
    </row>
    <row r="103" spans="1:1">
      <c r="A103" s="12"/>
    </row>
    <row r="104" spans="1:1">
      <c r="A104" s="12"/>
    </row>
    <row r="105" spans="1:1">
      <c r="A105" s="12"/>
    </row>
    <row r="106" spans="1:1">
      <c r="A106" s="12"/>
    </row>
    <row r="107" spans="1:1">
      <c r="A107" s="13"/>
    </row>
    <row r="108" spans="1:1">
      <c r="A108" s="12"/>
    </row>
    <row r="109" spans="1:1">
      <c r="A109" s="12"/>
    </row>
    <row r="110" spans="1:1">
      <c r="A110" s="12"/>
    </row>
    <row r="111" spans="1:1">
      <c r="A111" s="12"/>
    </row>
  </sheetData>
  <autoFilter ref="A2:H71" xr:uid="{72511123-675C-4683-A6CF-81EDB2C9A782}">
    <sortState xmlns:xlrd2="http://schemas.microsoft.com/office/spreadsheetml/2017/richdata2" ref="A3:H70">
      <sortCondition ref="G2:G70"/>
    </sortState>
  </autoFilter>
  <dataValidations count="1">
    <dataValidation type="list" allowBlank="1" showInputMessage="1" showErrorMessage="1" sqref="B88:B101 B107" xr:uid="{5620AE4E-358B-4622-828F-9AB70C25C7D2}">
      <formula1>"High, Medium, Low"</formula1>
    </dataValidation>
  </dataValidations>
  <hyperlinks>
    <hyperlink ref="E3" r:id="rId1" xr:uid="{DB6AC9AB-288B-4FA3-9A87-621FACFF4408}"/>
    <hyperlink ref="E15" r:id="rId2" display="mailto:Jack.Jefferis@dhl.com" xr:uid="{1DC59217-13EC-4A16-837B-74B1495E873D}"/>
    <hyperlink ref="E14" r:id="rId3" display="mailto:robert.a.jones@dhl.com" xr:uid="{B2E8492E-FE33-4DC4-959C-03D68FE7A08D}"/>
    <hyperlink ref="E16" r:id="rId4" display="mailto:Tony.Gillman@dhl.com" xr:uid="{A9A09C25-2BF6-4F69-95BB-C16470C5DD7F}"/>
    <hyperlink ref="E12" r:id="rId5" xr:uid="{D8306954-AB58-4A6A-A55E-5F1F573A95CF}"/>
    <hyperlink ref="E20" r:id="rId6" display="mailto:nbrown@ccep.com" xr:uid="{AF5B308B-73AB-4860-9AD9-CFC5898B9712}"/>
    <hyperlink ref="E21" r:id="rId7" xr:uid="{04A4B329-6D94-48F2-B744-62E1AE7857C8}"/>
    <hyperlink ref="E29" r:id="rId8" display="mailto:christine.leveque@suez.com" xr:uid="{FB921B28-54E7-4788-93F4-A3F386EAF0F9}"/>
    <hyperlink ref="E34" r:id="rId9" display="mailto:richard.kirkman@veolia.com" xr:uid="{03E3F430-9B70-4127-A892-B526FB369049}"/>
    <hyperlink ref="E39" r:id="rId10" display="mailto:michael.topham@biffa.co.uk" xr:uid="{C24FBA9B-A1B5-44F1-AE16-D5C59A5A9C3B}"/>
    <hyperlink ref="E41" r:id="rId11" display="mailto:m.harbard@bywaters.co.uk" xr:uid="{4D7EC907-AA75-468E-8AF3-788A6111DD76}"/>
    <hyperlink ref="E42" r:id="rId12" display="mailto:e.vanreenen@bywaters.co.uk" xr:uid="{016B974A-7853-4A2B-90D1-F779F308F9C9}"/>
    <hyperlink ref="E44" r:id="rId13" display="mailto:Matt.Gear@amey.co.uk" xr:uid="{7D21B427-27B7-41A5-83D3-860AC3800614}"/>
    <hyperlink ref="E5" r:id="rId14" xr:uid="{2AAE6E41-2BBD-4B83-BE6B-B3F9E2D8BADA}"/>
    <hyperlink ref="E23" r:id="rId15" xr:uid="{B006F53D-C6B6-4EB5-830D-A4E709A0329B}"/>
    <hyperlink ref="E26" r:id="rId16" xr:uid="{B2BA169D-7B12-438A-8FE1-D3D1064C5E5B}"/>
    <hyperlink ref="E40" r:id="rId17" xr:uid="{CE7ADFAC-239F-4522-A9EA-FBF42B33E925}"/>
    <hyperlink ref="E11" r:id="rId18" xr:uid="{A3486527-9F68-46F6-9A41-D0CA9A849A2F}"/>
    <hyperlink ref="E47" r:id="rId19" xr:uid="{F906C088-7ECA-4094-AC52-2CC3869C5E3E}"/>
    <hyperlink ref="E49" r:id="rId20" xr:uid="{9F3D1533-C3BD-4ED7-8FEE-10AF5F6C35AF}"/>
    <hyperlink ref="E64" r:id="rId21" xr:uid="{53844896-11E8-4AA4-98BE-7BA74E36E3B7}"/>
    <hyperlink ref="E67" r:id="rId22" xr:uid="{6CA0154F-D7E0-114D-B908-1947D2DE9CAD}"/>
    <hyperlink ref="E69" r:id="rId23" tooltip="mailto:gui.brammer@boomera.com.br" display="mailto:gui.brammer@boomera.com.br" xr:uid="{795B3869-0306-ED46-BAEC-C060A68B016C}"/>
  </hyperlinks>
  <pageMargins left="0.7" right="0.7" top="0.75" bottom="0.75" header="0.3" footer="0.3"/>
  <pageSetup paperSize="9" orientation="portrait" r:id="rId2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18EF30673D5B49881DF4C080609271" ma:contentTypeVersion="22" ma:contentTypeDescription="Create a new document." ma:contentTypeScope="" ma:versionID="285374287ba84a0b903f3b0a0c192c14">
  <xsd:schema xmlns:xsd="http://www.w3.org/2001/XMLSchema" xmlns:xs="http://www.w3.org/2001/XMLSchema" xmlns:p="http://schemas.microsoft.com/office/2006/metadata/properties" xmlns:ns2="02e0e560-c31d-4af6-a431-022151c3c7c2" xmlns:ns3="7600beb2-ff5e-4bea-a23f-b0dfd292fa06" targetNamespace="http://schemas.microsoft.com/office/2006/metadata/properties" ma:root="true" ma:fieldsID="41990503ec098ed6bac969513da2c478" ns2:_="" ns3:_="">
    <xsd:import namespace="02e0e560-c31d-4af6-a431-022151c3c7c2"/>
    <xsd:import namespace="7600beb2-ff5e-4bea-a23f-b0dfd292fa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ProjectNo_x002e_" minOccurs="0"/>
                <xsd:element ref="ns2:lcf76f155ced4ddcb4097134ff3c332f" minOccurs="0"/>
                <xsd:element ref="ns3:TaxCatchAll" minOccurs="0"/>
                <xsd:element ref="ns2:Desc_x002e_" minOccurs="0"/>
                <xsd:element ref="ns2:MediaServiceObjectDetectorVersions" minOccurs="0"/>
                <xsd:element ref="ns2:Sequence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e0e560-c31d-4af6-a431-022151c3c7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ProjectNo_x002e_" ma:index="21" nillable="true" ma:displayName="Project No." ma:decimals="0" ma:format="Dropdown" ma:internalName="ProjectNo_x002e_" ma:percentage="FALSE">
      <xsd:simpleType>
        <xsd:restriction base="dms:Number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0017d90-d553-4cd7-a213-bcdfc81f12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esc_x002e_" ma:index="25" nillable="true" ma:displayName="Desc." ma:format="Dropdown" ma:internalName="Desc_x002e_">
      <xsd:simpleType>
        <xsd:restriction base="dms:Text">
          <xsd:maxLength value="255"/>
        </xsd:restriction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Sequence" ma:index="27" nillable="true" ma:displayName="Sequence" ma:format="Dropdown" ma:internalName="Sequence" ma:percentage="FALSE">
      <xsd:simpleType>
        <xsd:restriction base="dms:Number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9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00beb2-ff5e-4bea-a23f-b0dfd292fa0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769b259a-f1c6-4ce1-afec-795b10eaf0f9}" ma:internalName="TaxCatchAll" ma:showField="CatchAllData" ma:web="7600beb2-ff5e-4bea-a23f-b0dfd292fa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jectNo_x002e_ xmlns="02e0e560-c31d-4af6-a431-022151c3c7c2" xsi:nil="true"/>
    <TaxCatchAll xmlns="7600beb2-ff5e-4bea-a23f-b0dfd292fa06" xsi:nil="true"/>
    <lcf76f155ced4ddcb4097134ff3c332f xmlns="02e0e560-c31d-4af6-a431-022151c3c7c2">
      <Terms xmlns="http://schemas.microsoft.com/office/infopath/2007/PartnerControls"/>
    </lcf76f155ced4ddcb4097134ff3c332f>
    <Desc_x002e_ xmlns="02e0e560-c31d-4af6-a431-022151c3c7c2" xsi:nil="true"/>
    <Sequence xmlns="02e0e560-c31d-4af6-a431-022151c3c7c2" xsi:nil="true"/>
    <_Flow_SignoffStatus xmlns="02e0e560-c31d-4af6-a431-022151c3c7c2" xsi:nil="true"/>
  </documentManagement>
</p:properties>
</file>

<file path=customXml/itemProps1.xml><?xml version="1.0" encoding="utf-8"?>
<ds:datastoreItem xmlns:ds="http://schemas.openxmlformats.org/officeDocument/2006/customXml" ds:itemID="{11B78E6D-F90C-4024-8A76-80D03A12A2F8}"/>
</file>

<file path=customXml/itemProps2.xml><?xml version="1.0" encoding="utf-8"?>
<ds:datastoreItem xmlns:ds="http://schemas.openxmlformats.org/officeDocument/2006/customXml" ds:itemID="{3BE27FEE-AEB8-41BB-9AC7-1B5B91600A0C}"/>
</file>

<file path=customXml/itemProps3.xml><?xml version="1.0" encoding="utf-8"?>
<ds:datastoreItem xmlns:ds="http://schemas.openxmlformats.org/officeDocument/2006/customXml" ds:itemID="{BFAEDA61-D3E2-4123-8241-741A5C5AC3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Ester Batchelor</cp:lastModifiedBy>
  <cp:revision/>
  <dcterms:created xsi:type="dcterms:W3CDTF">2015-06-05T18:17:20Z</dcterms:created>
  <dcterms:modified xsi:type="dcterms:W3CDTF">2024-10-07T14:40:42Z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0x0101004818EF30673D5B49881DF4C080609271</vt:lpwstr>
  </property>
  <property fmtid="{D5CDD505-2E9C-101B-9397-08002B2CF9AE}" pid="3" name="MediaServiceImageTags">
    <vt:lpwstr/>
  </property>
</Properties>
</file>